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460" windowHeight="7680"/>
  </bookViews>
  <sheets>
    <sheet name="637" sheetId="1" r:id="rId1"/>
  </sheets>
  <definedNames>
    <definedName name="_xlnm._FilterDatabase" localSheetId="0" hidden="1">'637'!$A$7:$BB$526</definedName>
    <definedName name="_xlnm.Print_Titles" localSheetId="0">'637'!$1:$7</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Q527" i="1" l="1"/>
  <c r="AP527" i="1"/>
  <c r="AJ527" i="1"/>
  <c r="Y527" i="1"/>
  <c r="AS526" i="1"/>
  <c r="AN526" i="1"/>
  <c r="AM526" i="1"/>
  <c r="AL526" i="1"/>
  <c r="AI526" i="1"/>
  <c r="AF526" i="1"/>
  <c r="AE526" i="1"/>
  <c r="AB526" i="1"/>
  <c r="S526" i="1"/>
  <c r="AS525" i="1"/>
  <c r="AN525" i="1"/>
  <c r="AM525" i="1"/>
  <c r="AL525" i="1"/>
  <c r="AI525" i="1"/>
  <c r="AF525" i="1"/>
  <c r="AE525" i="1"/>
  <c r="AB525" i="1"/>
  <c r="S525" i="1"/>
  <c r="AT525" i="1" s="1"/>
  <c r="AS524" i="1"/>
  <c r="AR524" i="1"/>
  <c r="AM524" i="1"/>
  <c r="AL524" i="1"/>
  <c r="AI524" i="1"/>
  <c r="AH524" i="1"/>
  <c r="AN524" i="1" s="1"/>
  <c r="AF524" i="1"/>
  <c r="AE524" i="1"/>
  <c r="AB524" i="1"/>
  <c r="T524" i="1"/>
  <c r="S524" i="1"/>
  <c r="AR523" i="1"/>
  <c r="AS523" i="1" s="1"/>
  <c r="AM523" i="1"/>
  <c r="AL523" i="1"/>
  <c r="AH523" i="1"/>
  <c r="AN523" i="1" s="1"/>
  <c r="AE523" i="1"/>
  <c r="AB523" i="1"/>
  <c r="T523" i="1"/>
  <c r="AF523" i="1" s="1"/>
  <c r="AS522" i="1"/>
  <c r="AR522" i="1"/>
  <c r="AM522" i="1"/>
  <c r="AL522" i="1"/>
  <c r="AI522" i="1"/>
  <c r="AH522" i="1"/>
  <c r="AN522" i="1" s="1"/>
  <c r="AE522" i="1"/>
  <c r="AB522" i="1"/>
  <c r="T522" i="1"/>
  <c r="AR521" i="1"/>
  <c r="AS521" i="1" s="1"/>
  <c r="AM521" i="1"/>
  <c r="AL521" i="1"/>
  <c r="AH521" i="1"/>
  <c r="AE521" i="1"/>
  <c r="AB521" i="1"/>
  <c r="T521" i="1"/>
  <c r="AF521" i="1" s="1"/>
  <c r="AR520" i="1"/>
  <c r="AS520" i="1" s="1"/>
  <c r="AM520" i="1"/>
  <c r="AL520" i="1"/>
  <c r="AH520" i="1"/>
  <c r="AF520" i="1"/>
  <c r="AE520" i="1"/>
  <c r="AB520" i="1"/>
  <c r="S520" i="1"/>
  <c r="AS519" i="1"/>
  <c r="AN519" i="1"/>
  <c r="AM519" i="1"/>
  <c r="AL519" i="1"/>
  <c r="AI519" i="1"/>
  <c r="AF519" i="1"/>
  <c r="AE519" i="1"/>
  <c r="AB519" i="1"/>
  <c r="S519" i="1"/>
  <c r="AS518" i="1"/>
  <c r="AN518" i="1"/>
  <c r="AM518" i="1"/>
  <c r="AL518" i="1"/>
  <c r="AI518" i="1"/>
  <c r="AF518" i="1"/>
  <c r="AE518" i="1"/>
  <c r="AB518" i="1"/>
  <c r="S518" i="1"/>
  <c r="AR517" i="1"/>
  <c r="AS517" i="1" s="1"/>
  <c r="AM517" i="1"/>
  <c r="AL517" i="1"/>
  <c r="AH517" i="1"/>
  <c r="AI517" i="1" s="1"/>
  <c r="AF517" i="1"/>
  <c r="AE517" i="1"/>
  <c r="AB517" i="1"/>
  <c r="S517" i="1"/>
  <c r="AR516" i="1"/>
  <c r="AS516" i="1" s="1"/>
  <c r="AM516" i="1"/>
  <c r="AL516" i="1"/>
  <c r="AH516" i="1"/>
  <c r="AI516" i="1" s="1"/>
  <c r="AF516" i="1"/>
  <c r="AE516" i="1"/>
  <c r="AA516" i="1"/>
  <c r="S516" i="1"/>
  <c r="AS515" i="1"/>
  <c r="AM515" i="1"/>
  <c r="AL515" i="1"/>
  <c r="AI515" i="1"/>
  <c r="AF515" i="1"/>
  <c r="AE515" i="1"/>
  <c r="AA515" i="1"/>
  <c r="AB515" i="1" s="1"/>
  <c r="S515" i="1"/>
  <c r="AR514" i="1"/>
  <c r="AS514" i="1" s="1"/>
  <c r="AM514" i="1"/>
  <c r="AL514" i="1"/>
  <c r="AH514" i="1"/>
  <c r="AI514" i="1" s="1"/>
  <c r="AF514" i="1"/>
  <c r="AE514" i="1"/>
  <c r="AA514" i="1"/>
  <c r="AB514" i="1" s="1"/>
  <c r="S514" i="1"/>
  <c r="AR513" i="1"/>
  <c r="AS513" i="1" s="1"/>
  <c r="AM513" i="1"/>
  <c r="AL513" i="1"/>
  <c r="AH513" i="1"/>
  <c r="AI513" i="1" s="1"/>
  <c r="AF513" i="1"/>
  <c r="AE513" i="1"/>
  <c r="AB513" i="1"/>
  <c r="S513" i="1"/>
  <c r="AR512" i="1"/>
  <c r="AS512" i="1" s="1"/>
  <c r="AM512" i="1"/>
  <c r="AL512" i="1"/>
  <c r="AH512" i="1"/>
  <c r="AN512" i="1" s="1"/>
  <c r="AE512" i="1"/>
  <c r="AB512" i="1"/>
  <c r="T512" i="1"/>
  <c r="AF512" i="1" s="1"/>
  <c r="AS511" i="1"/>
  <c r="AM511" i="1"/>
  <c r="AL511" i="1"/>
  <c r="AI511" i="1"/>
  <c r="AF511" i="1"/>
  <c r="AE511" i="1"/>
  <c r="AA511" i="1"/>
  <c r="AB511" i="1" s="1"/>
  <c r="S511" i="1"/>
  <c r="AS510" i="1"/>
  <c r="AN510" i="1"/>
  <c r="AM510" i="1"/>
  <c r="AL510" i="1"/>
  <c r="AI510" i="1"/>
  <c r="AF510" i="1"/>
  <c r="AE510" i="1"/>
  <c r="AB510" i="1"/>
  <c r="S510" i="1"/>
  <c r="AS509" i="1"/>
  <c r="AN509" i="1"/>
  <c r="AM509" i="1"/>
  <c r="AL509" i="1"/>
  <c r="AI509" i="1"/>
  <c r="AF509" i="1"/>
  <c r="AE509" i="1"/>
  <c r="AB509" i="1"/>
  <c r="S509" i="1"/>
  <c r="AS508" i="1"/>
  <c r="AM508" i="1"/>
  <c r="AL508" i="1"/>
  <c r="AH508" i="1"/>
  <c r="AI508" i="1" s="1"/>
  <c r="AF508" i="1"/>
  <c r="AE508" i="1"/>
  <c r="AB508" i="1"/>
  <c r="S508" i="1"/>
  <c r="AS507" i="1"/>
  <c r="AM507" i="1"/>
  <c r="AL507" i="1"/>
  <c r="AH507" i="1"/>
  <c r="AI507" i="1" s="1"/>
  <c r="AF507" i="1"/>
  <c r="AE507" i="1"/>
  <c r="AB507" i="1"/>
  <c r="S507" i="1"/>
  <c r="AR506" i="1"/>
  <c r="AS506" i="1" s="1"/>
  <c r="AM506" i="1"/>
  <c r="AL506" i="1"/>
  <c r="AH506" i="1"/>
  <c r="AN506" i="1" s="1"/>
  <c r="AB506" i="1"/>
  <c r="U506" i="1"/>
  <c r="AE506" i="1" s="1"/>
  <c r="T506" i="1"/>
  <c r="AF506" i="1" s="1"/>
  <c r="AS505" i="1"/>
  <c r="AL505" i="1"/>
  <c r="AH505" i="1"/>
  <c r="AN505" i="1" s="1"/>
  <c r="AG505" i="1"/>
  <c r="AE505" i="1"/>
  <c r="AB505" i="1"/>
  <c r="T505" i="1"/>
  <c r="AS504" i="1"/>
  <c r="AM504" i="1"/>
  <c r="AL504" i="1"/>
  <c r="AH504" i="1"/>
  <c r="AN504" i="1" s="1"/>
  <c r="AF504" i="1"/>
  <c r="AE504" i="1"/>
  <c r="AB504" i="1"/>
  <c r="S504" i="1"/>
  <c r="AS503" i="1"/>
  <c r="AM503" i="1"/>
  <c r="AL503" i="1"/>
  <c r="AH503" i="1"/>
  <c r="AN503" i="1" s="1"/>
  <c r="AE503" i="1"/>
  <c r="AB503" i="1"/>
  <c r="T503" i="1"/>
  <c r="AF503" i="1" s="1"/>
  <c r="AS502" i="1"/>
  <c r="AM502" i="1"/>
  <c r="AL502" i="1"/>
  <c r="AH502" i="1"/>
  <c r="AF502" i="1"/>
  <c r="AE502" i="1"/>
  <c r="AB502" i="1"/>
  <c r="S502" i="1"/>
  <c r="AS501" i="1"/>
  <c r="AM501" i="1"/>
  <c r="AL501" i="1"/>
  <c r="AH501" i="1"/>
  <c r="AI501" i="1" s="1"/>
  <c r="AE501" i="1"/>
  <c r="AB501" i="1"/>
  <c r="T501" i="1"/>
  <c r="AF501" i="1" s="1"/>
  <c r="AS500" i="1"/>
  <c r="AM500" i="1"/>
  <c r="AL500" i="1"/>
  <c r="AH500" i="1"/>
  <c r="AN500" i="1" s="1"/>
  <c r="AF500" i="1"/>
  <c r="AE500" i="1"/>
  <c r="AB500" i="1"/>
  <c r="S500" i="1"/>
  <c r="AS499" i="1"/>
  <c r="AM499" i="1"/>
  <c r="AL499" i="1"/>
  <c r="AH499" i="1"/>
  <c r="AN499" i="1" s="1"/>
  <c r="AE499" i="1"/>
  <c r="AB499" i="1"/>
  <c r="T499" i="1"/>
  <c r="AS498" i="1"/>
  <c r="AM498" i="1"/>
  <c r="AL498" i="1"/>
  <c r="AH498" i="1"/>
  <c r="AI498" i="1" s="1"/>
  <c r="AF498" i="1"/>
  <c r="AE498" i="1"/>
  <c r="AB498" i="1"/>
  <c r="S498" i="1"/>
  <c r="AS497" i="1"/>
  <c r="AM497" i="1"/>
  <c r="AL497" i="1"/>
  <c r="AH497" i="1"/>
  <c r="AI497" i="1" s="1"/>
  <c r="AE497" i="1"/>
  <c r="AB497" i="1"/>
  <c r="T497" i="1"/>
  <c r="AS496" i="1"/>
  <c r="AM496" i="1"/>
  <c r="AL496" i="1"/>
  <c r="AH496" i="1"/>
  <c r="AF496" i="1"/>
  <c r="AE496" i="1"/>
  <c r="AB496" i="1"/>
  <c r="S496" i="1"/>
  <c r="AS495" i="1"/>
  <c r="AM495" i="1"/>
  <c r="AL495" i="1"/>
  <c r="AH495" i="1"/>
  <c r="AI495" i="1" s="1"/>
  <c r="AF495" i="1"/>
  <c r="AE495" i="1"/>
  <c r="AA495" i="1"/>
  <c r="AN495" i="1" s="1"/>
  <c r="S495" i="1"/>
  <c r="AS494" i="1"/>
  <c r="AM494" i="1"/>
  <c r="AL494" i="1"/>
  <c r="AH494" i="1"/>
  <c r="AI494" i="1" s="1"/>
  <c r="AF494" i="1"/>
  <c r="AE494" i="1"/>
  <c r="AA494" i="1"/>
  <c r="S494" i="1"/>
  <c r="AS493" i="1"/>
  <c r="AM493" i="1"/>
  <c r="AL493" i="1"/>
  <c r="AH493" i="1"/>
  <c r="AN493" i="1" s="1"/>
  <c r="AF493" i="1"/>
  <c r="AE493" i="1"/>
  <c r="AB493" i="1"/>
  <c r="S493" i="1"/>
  <c r="AS492" i="1"/>
  <c r="AM492" i="1"/>
  <c r="AL492" i="1"/>
  <c r="AH492" i="1"/>
  <c r="AI492" i="1" s="1"/>
  <c r="AF492" i="1"/>
  <c r="AE492" i="1"/>
  <c r="AA492" i="1"/>
  <c r="S492" i="1"/>
  <c r="AS491" i="1"/>
  <c r="AM491" i="1"/>
  <c r="AL491" i="1"/>
  <c r="AH491" i="1"/>
  <c r="AF491" i="1"/>
  <c r="AE491" i="1"/>
  <c r="AA491" i="1"/>
  <c r="AB491" i="1" s="1"/>
  <c r="S491" i="1"/>
  <c r="AS490" i="1"/>
  <c r="AN490" i="1"/>
  <c r="AM490" i="1"/>
  <c r="AL490" i="1"/>
  <c r="AI490" i="1"/>
  <c r="AF490" i="1"/>
  <c r="AE490" i="1"/>
  <c r="AB490" i="1"/>
  <c r="S490" i="1"/>
  <c r="AR489" i="1"/>
  <c r="AS489" i="1" s="1"/>
  <c r="AM489" i="1"/>
  <c r="AL489" i="1"/>
  <c r="AH489" i="1"/>
  <c r="AF489" i="1"/>
  <c r="AE489" i="1"/>
  <c r="AB489" i="1"/>
  <c r="S489" i="1"/>
  <c r="AS488" i="1"/>
  <c r="AM488" i="1"/>
  <c r="AL488" i="1"/>
  <c r="AH488" i="1"/>
  <c r="AN488" i="1" s="1"/>
  <c r="AE488" i="1"/>
  <c r="AB488" i="1"/>
  <c r="T488" i="1"/>
  <c r="AR487" i="1"/>
  <c r="AS487" i="1" s="1"/>
  <c r="AM487" i="1"/>
  <c r="AL487" i="1"/>
  <c r="AH487" i="1"/>
  <c r="AF487" i="1"/>
  <c r="AE487" i="1"/>
  <c r="AB487" i="1"/>
  <c r="S487" i="1"/>
  <c r="AS486" i="1"/>
  <c r="AM486" i="1"/>
  <c r="AL486" i="1"/>
  <c r="AH486" i="1"/>
  <c r="AN486" i="1" s="1"/>
  <c r="AF486" i="1"/>
  <c r="AE486" i="1"/>
  <c r="AB486" i="1"/>
  <c r="S486" i="1"/>
  <c r="AR485" i="1"/>
  <c r="AS485" i="1" s="1"/>
  <c r="AM485" i="1"/>
  <c r="AL485" i="1"/>
  <c r="AH485" i="1"/>
  <c r="AI485" i="1" s="1"/>
  <c r="AF485" i="1"/>
  <c r="AE485" i="1"/>
  <c r="AB485" i="1"/>
  <c r="S485" i="1"/>
  <c r="AR484" i="1"/>
  <c r="AS484" i="1" s="1"/>
  <c r="AM484" i="1"/>
  <c r="AL484" i="1"/>
  <c r="AH484" i="1"/>
  <c r="AE484" i="1"/>
  <c r="AB484" i="1"/>
  <c r="T484" i="1"/>
  <c r="AS483" i="1"/>
  <c r="AL483" i="1"/>
  <c r="AH483" i="1"/>
  <c r="AI483" i="1" s="1"/>
  <c r="AA483" i="1"/>
  <c r="Z483" i="1"/>
  <c r="U483" i="1"/>
  <c r="T483" i="1"/>
  <c r="AR482" i="1"/>
  <c r="AS482" i="1" s="1"/>
  <c r="AN482" i="1"/>
  <c r="AL482" i="1"/>
  <c r="AG482" i="1"/>
  <c r="AI482" i="1" s="1"/>
  <c r="Z482" i="1"/>
  <c r="AE482" i="1" s="1"/>
  <c r="T482" i="1"/>
  <c r="AF482" i="1" s="1"/>
  <c r="AS481" i="1"/>
  <c r="AM481" i="1"/>
  <c r="AL481" i="1"/>
  <c r="AH481" i="1"/>
  <c r="AF481" i="1"/>
  <c r="AE481" i="1"/>
  <c r="AB481" i="1"/>
  <c r="S481" i="1"/>
  <c r="AS480" i="1"/>
  <c r="AM480" i="1"/>
  <c r="AL480" i="1"/>
  <c r="AH480" i="1"/>
  <c r="AF480" i="1"/>
  <c r="AE480" i="1"/>
  <c r="AB480" i="1"/>
  <c r="S480" i="1"/>
  <c r="AR479" i="1"/>
  <c r="AS479" i="1" s="1"/>
  <c r="AM479" i="1"/>
  <c r="AL479" i="1"/>
  <c r="AH479" i="1"/>
  <c r="AN479" i="1" s="1"/>
  <c r="AE479" i="1"/>
  <c r="AB479" i="1"/>
  <c r="T479" i="1"/>
  <c r="AF479" i="1" s="1"/>
  <c r="AS478" i="1"/>
  <c r="AN478" i="1"/>
  <c r="AM478" i="1"/>
  <c r="AL478" i="1"/>
  <c r="AI478" i="1"/>
  <c r="AF478" i="1"/>
  <c r="AE478" i="1"/>
  <c r="AB478" i="1"/>
  <c r="S478" i="1"/>
  <c r="AR477" i="1"/>
  <c r="AS477" i="1" s="1"/>
  <c r="AM477" i="1"/>
  <c r="AL477" i="1"/>
  <c r="AH477" i="1"/>
  <c r="AI477" i="1" s="1"/>
  <c r="AA477" i="1"/>
  <c r="AB477" i="1" s="1"/>
  <c r="U477" i="1"/>
  <c r="AE477" i="1" s="1"/>
  <c r="T477" i="1"/>
  <c r="AS476" i="1"/>
  <c r="AN476" i="1"/>
  <c r="AM476" i="1"/>
  <c r="AL476" i="1"/>
  <c r="AI476" i="1"/>
  <c r="AF476" i="1"/>
  <c r="AE476" i="1"/>
  <c r="AB476" i="1"/>
  <c r="S476" i="1"/>
  <c r="AS475" i="1"/>
  <c r="AN475" i="1"/>
  <c r="AM475" i="1"/>
  <c r="AL475" i="1"/>
  <c r="AI475" i="1"/>
  <c r="AF475" i="1"/>
  <c r="AE475" i="1"/>
  <c r="AB475" i="1"/>
  <c r="S475" i="1"/>
  <c r="AS474" i="1"/>
  <c r="AN474" i="1"/>
  <c r="AM474" i="1"/>
  <c r="AL474" i="1"/>
  <c r="AI474" i="1"/>
  <c r="AF474" i="1"/>
  <c r="AE474" i="1"/>
  <c r="AB474" i="1"/>
  <c r="S474" i="1"/>
  <c r="AS473" i="1"/>
  <c r="AM473" i="1"/>
  <c r="AL473" i="1"/>
  <c r="AI473" i="1"/>
  <c r="AH473" i="1"/>
  <c r="AN473" i="1" s="1"/>
  <c r="AF473" i="1"/>
  <c r="AE473" i="1"/>
  <c r="AB473" i="1"/>
  <c r="S473" i="1"/>
  <c r="AR472" i="1"/>
  <c r="AS472" i="1" s="1"/>
  <c r="AM472" i="1"/>
  <c r="AL472" i="1"/>
  <c r="AH472" i="1"/>
  <c r="AI472" i="1" s="1"/>
  <c r="AA472" i="1"/>
  <c r="AN472" i="1" s="1"/>
  <c r="U472" i="1"/>
  <c r="AE472" i="1" s="1"/>
  <c r="T472" i="1"/>
  <c r="AS471" i="1"/>
  <c r="AM471" i="1"/>
  <c r="AL471" i="1"/>
  <c r="AH471" i="1"/>
  <c r="AF471" i="1"/>
  <c r="AE471" i="1"/>
  <c r="AB471" i="1"/>
  <c r="S471" i="1"/>
  <c r="AS470" i="1"/>
  <c r="AM470" i="1"/>
  <c r="AL470" i="1"/>
  <c r="AH470" i="1"/>
  <c r="AN470" i="1" s="1"/>
  <c r="AF470" i="1"/>
  <c r="AE470" i="1"/>
  <c r="AB470" i="1"/>
  <c r="S470" i="1"/>
  <c r="AS469" i="1"/>
  <c r="AM469" i="1"/>
  <c r="AL469" i="1"/>
  <c r="AH469" i="1"/>
  <c r="AN469" i="1" s="1"/>
  <c r="AE469" i="1"/>
  <c r="AB469" i="1"/>
  <c r="T469" i="1"/>
  <c r="AF469" i="1" s="1"/>
  <c r="AR468" i="1"/>
  <c r="AS468" i="1" s="1"/>
  <c r="AM468" i="1"/>
  <c r="AL468" i="1"/>
  <c r="AH468" i="1"/>
  <c r="AN468" i="1" s="1"/>
  <c r="AF468" i="1"/>
  <c r="AE468" i="1"/>
  <c r="AB468" i="1"/>
  <c r="S468" i="1"/>
  <c r="AT468" i="1" s="1"/>
  <c r="AS467" i="1"/>
  <c r="AM467" i="1"/>
  <c r="AL467" i="1"/>
  <c r="AI467" i="1"/>
  <c r="AH467" i="1"/>
  <c r="AN467" i="1" s="1"/>
  <c r="AF467" i="1"/>
  <c r="AE467" i="1"/>
  <c r="AB467" i="1"/>
  <c r="S467" i="1"/>
  <c r="AS466" i="1"/>
  <c r="AM466" i="1"/>
  <c r="AL466" i="1"/>
  <c r="AH466" i="1"/>
  <c r="AN466" i="1" s="1"/>
  <c r="AF466" i="1"/>
  <c r="AE466" i="1"/>
  <c r="AB466" i="1"/>
  <c r="S466" i="1"/>
  <c r="AS465" i="1"/>
  <c r="AM465" i="1"/>
  <c r="AL465" i="1"/>
  <c r="AH465" i="1"/>
  <c r="AI465" i="1" s="1"/>
  <c r="AA465" i="1"/>
  <c r="AB465" i="1" s="1"/>
  <c r="U465" i="1"/>
  <c r="AE465" i="1" s="1"/>
  <c r="T465" i="1"/>
  <c r="AS464" i="1"/>
  <c r="AM464" i="1"/>
  <c r="AL464" i="1"/>
  <c r="AH464" i="1"/>
  <c r="AF464" i="1"/>
  <c r="AE464" i="1"/>
  <c r="AB464" i="1"/>
  <c r="S464" i="1"/>
  <c r="AS463" i="1"/>
  <c r="AM463" i="1"/>
  <c r="AL463" i="1"/>
  <c r="AH463" i="1"/>
  <c r="AF463" i="1"/>
  <c r="AE463" i="1"/>
  <c r="AB463" i="1"/>
  <c r="S463" i="1"/>
  <c r="AS462" i="1"/>
  <c r="AM462" i="1"/>
  <c r="AL462" i="1"/>
  <c r="AH462" i="1"/>
  <c r="AI462" i="1" s="1"/>
  <c r="AF462" i="1"/>
  <c r="AE462" i="1"/>
  <c r="AB462" i="1"/>
  <c r="S462" i="1"/>
  <c r="AS461" i="1"/>
  <c r="AM461" i="1"/>
  <c r="AL461" i="1"/>
  <c r="AH461" i="1"/>
  <c r="AN461" i="1" s="1"/>
  <c r="AE461" i="1"/>
  <c r="AB461" i="1"/>
  <c r="T461" i="1"/>
  <c r="AF461" i="1" s="1"/>
  <c r="AS460" i="1"/>
  <c r="AM460" i="1"/>
  <c r="AL460" i="1"/>
  <c r="AH460" i="1"/>
  <c r="AN460" i="1" s="1"/>
  <c r="AF460" i="1"/>
  <c r="AE460" i="1"/>
  <c r="AB460" i="1"/>
  <c r="S460" i="1"/>
  <c r="AS459" i="1"/>
  <c r="AM459" i="1"/>
  <c r="AL459" i="1"/>
  <c r="AH459" i="1"/>
  <c r="AN459" i="1" s="1"/>
  <c r="AE459" i="1"/>
  <c r="AB459" i="1"/>
  <c r="T459" i="1"/>
  <c r="AF459" i="1" s="1"/>
  <c r="AS458" i="1"/>
  <c r="AL458" i="1"/>
  <c r="AI458" i="1"/>
  <c r="AA458" i="1"/>
  <c r="AN458" i="1" s="1"/>
  <c r="Z458" i="1"/>
  <c r="U458" i="1"/>
  <c r="T458" i="1"/>
  <c r="AF458" i="1" s="1"/>
  <c r="AS457" i="1"/>
  <c r="AM457" i="1"/>
  <c r="AL457" i="1"/>
  <c r="AH457" i="1"/>
  <c r="AN457" i="1" s="1"/>
  <c r="AF457" i="1"/>
  <c r="AE457" i="1"/>
  <c r="AB457" i="1"/>
  <c r="S457" i="1"/>
  <c r="AT457" i="1" s="1"/>
  <c r="AS456" i="1"/>
  <c r="AM456" i="1"/>
  <c r="AL456" i="1"/>
  <c r="AH456" i="1"/>
  <c r="AI456" i="1" s="1"/>
  <c r="AF456" i="1"/>
  <c r="AE456" i="1"/>
  <c r="AB456" i="1"/>
  <c r="S456" i="1"/>
  <c r="AS455" i="1"/>
  <c r="AM455" i="1"/>
  <c r="AL455" i="1"/>
  <c r="AH455" i="1"/>
  <c r="AN455" i="1" s="1"/>
  <c r="AE455" i="1"/>
  <c r="AB455" i="1"/>
  <c r="T455" i="1"/>
  <c r="AF455" i="1" s="1"/>
  <c r="AS454" i="1"/>
  <c r="AM454" i="1"/>
  <c r="AL454" i="1"/>
  <c r="AH454" i="1"/>
  <c r="AF454" i="1"/>
  <c r="AE454" i="1"/>
  <c r="AB454" i="1"/>
  <c r="S454" i="1"/>
  <c r="AS453" i="1"/>
  <c r="AM453" i="1"/>
  <c r="AL453" i="1"/>
  <c r="AH453" i="1"/>
  <c r="AE453" i="1"/>
  <c r="AB453" i="1"/>
  <c r="T453" i="1"/>
  <c r="AS452" i="1"/>
  <c r="AM452" i="1"/>
  <c r="AL452" i="1"/>
  <c r="AH452" i="1"/>
  <c r="AN452" i="1" s="1"/>
  <c r="AF452" i="1"/>
  <c r="AE452" i="1"/>
  <c r="AB452" i="1"/>
  <c r="S452" i="1"/>
  <c r="AS451" i="1"/>
  <c r="AM451" i="1"/>
  <c r="AL451" i="1"/>
  <c r="AH451" i="1"/>
  <c r="AE451" i="1"/>
  <c r="AB451" i="1"/>
  <c r="T451" i="1"/>
  <c r="AS450" i="1"/>
  <c r="AM450" i="1"/>
  <c r="AL450" i="1"/>
  <c r="AH450" i="1"/>
  <c r="AF450" i="1"/>
  <c r="AE450" i="1"/>
  <c r="AB450" i="1"/>
  <c r="S450" i="1"/>
  <c r="AS449" i="1"/>
  <c r="AM449" i="1"/>
  <c r="AL449" i="1"/>
  <c r="AH449" i="1"/>
  <c r="AN449" i="1" s="1"/>
  <c r="AE449" i="1"/>
  <c r="AB449" i="1"/>
  <c r="T449" i="1"/>
  <c r="AS448" i="1"/>
  <c r="AL448" i="1"/>
  <c r="AH448" i="1"/>
  <c r="AG448" i="1"/>
  <c r="AM448" i="1" s="1"/>
  <c r="AE448" i="1"/>
  <c r="AB448" i="1"/>
  <c r="T448" i="1"/>
  <c r="AR447" i="1"/>
  <c r="AS447" i="1" s="1"/>
  <c r="AM447" i="1"/>
  <c r="AL447" i="1"/>
  <c r="AH447" i="1"/>
  <c r="AN447" i="1" s="1"/>
  <c r="AF447" i="1"/>
  <c r="AE447" i="1"/>
  <c r="AB447" i="1"/>
  <c r="S447" i="1"/>
  <c r="AR446" i="1"/>
  <c r="AS446" i="1" s="1"/>
  <c r="AM446" i="1"/>
  <c r="AL446" i="1"/>
  <c r="AH446" i="1"/>
  <c r="AI446" i="1" s="1"/>
  <c r="AE446" i="1"/>
  <c r="AB446" i="1"/>
  <c r="T446" i="1"/>
  <c r="AR445" i="1"/>
  <c r="AS445" i="1" s="1"/>
  <c r="AM445" i="1"/>
  <c r="AL445" i="1"/>
  <c r="AH445" i="1"/>
  <c r="AN445" i="1" s="1"/>
  <c r="AE445" i="1"/>
  <c r="AB445" i="1"/>
  <c r="T445" i="1"/>
  <c r="AF445" i="1" s="1"/>
  <c r="AR444" i="1"/>
  <c r="AS444" i="1" s="1"/>
  <c r="AM444" i="1"/>
  <c r="AL444" i="1"/>
  <c r="AH444" i="1"/>
  <c r="AN444" i="1" s="1"/>
  <c r="AE444" i="1"/>
  <c r="AB444" i="1"/>
  <c r="T444" i="1"/>
  <c r="AR443" i="1"/>
  <c r="AS443" i="1" s="1"/>
  <c r="AM443" i="1"/>
  <c r="AK443" i="1"/>
  <c r="AL443" i="1" s="1"/>
  <c r="AH443" i="1"/>
  <c r="AI443" i="1" s="1"/>
  <c r="AA443" i="1"/>
  <c r="U443" i="1"/>
  <c r="AE443" i="1" s="1"/>
  <c r="T443" i="1"/>
  <c r="AS442" i="1"/>
  <c r="AM442" i="1"/>
  <c r="AL442" i="1"/>
  <c r="AH442" i="1"/>
  <c r="AF442" i="1"/>
  <c r="AE442" i="1"/>
  <c r="AB442" i="1"/>
  <c r="S442" i="1"/>
  <c r="AS441" i="1"/>
  <c r="AM441" i="1"/>
  <c r="AL441" i="1"/>
  <c r="AH441" i="1"/>
  <c r="AN441" i="1" s="1"/>
  <c r="AE441" i="1"/>
  <c r="AB441" i="1"/>
  <c r="T441" i="1"/>
  <c r="AS440" i="1"/>
  <c r="AM440" i="1"/>
  <c r="AL440" i="1"/>
  <c r="AH440" i="1"/>
  <c r="AN440" i="1" s="1"/>
  <c r="AF440" i="1"/>
  <c r="AE440" i="1"/>
  <c r="AB440" i="1"/>
  <c r="S440" i="1"/>
  <c r="AT440" i="1" s="1"/>
  <c r="AS439" i="1"/>
  <c r="AM439" i="1"/>
  <c r="AL439" i="1"/>
  <c r="AH439" i="1"/>
  <c r="AF439" i="1"/>
  <c r="AE439" i="1"/>
  <c r="AB439" i="1"/>
  <c r="S439" i="1"/>
  <c r="AS438" i="1"/>
  <c r="AM438" i="1"/>
  <c r="AL438" i="1"/>
  <c r="AH438" i="1"/>
  <c r="AN438" i="1" s="1"/>
  <c r="AE438" i="1"/>
  <c r="AB438" i="1"/>
  <c r="T438" i="1"/>
  <c r="AS437" i="1"/>
  <c r="AM437" i="1"/>
  <c r="AL437" i="1"/>
  <c r="AH437" i="1"/>
  <c r="AI437" i="1" s="1"/>
  <c r="AF437" i="1"/>
  <c r="AE437" i="1"/>
  <c r="AB437" i="1"/>
  <c r="S437" i="1"/>
  <c r="AS436" i="1"/>
  <c r="AM436" i="1"/>
  <c r="AL436" i="1"/>
  <c r="AH436" i="1"/>
  <c r="AF436" i="1"/>
  <c r="AE436" i="1"/>
  <c r="AB436" i="1"/>
  <c r="S436" i="1"/>
  <c r="AS435" i="1"/>
  <c r="AN435" i="1"/>
  <c r="AM435" i="1"/>
  <c r="AL435" i="1"/>
  <c r="AI435" i="1"/>
  <c r="AF435" i="1"/>
  <c r="AE435" i="1"/>
  <c r="AB435" i="1"/>
  <c r="S435" i="1"/>
  <c r="AR434" i="1"/>
  <c r="AS434" i="1" s="1"/>
  <c r="AM434" i="1"/>
  <c r="AL434" i="1"/>
  <c r="AH434" i="1"/>
  <c r="AI434" i="1" s="1"/>
  <c r="AF434" i="1"/>
  <c r="AE434" i="1"/>
  <c r="AA434" i="1"/>
  <c r="S434" i="1"/>
  <c r="AS433" i="1"/>
  <c r="AN433" i="1"/>
  <c r="AM433" i="1"/>
  <c r="AL433" i="1"/>
  <c r="AI433" i="1"/>
  <c r="AF433" i="1"/>
  <c r="AE433" i="1"/>
  <c r="AB433" i="1"/>
  <c r="S433" i="1"/>
  <c r="AS432" i="1"/>
  <c r="AN432" i="1"/>
  <c r="AM432" i="1"/>
  <c r="AL432" i="1"/>
  <c r="AI432" i="1"/>
  <c r="AF432" i="1"/>
  <c r="AE432" i="1"/>
  <c r="AB432" i="1"/>
  <c r="S432" i="1"/>
  <c r="AS431" i="1"/>
  <c r="AN431" i="1"/>
  <c r="AM431" i="1"/>
  <c r="AL431" i="1"/>
  <c r="AI431" i="1"/>
  <c r="AF431" i="1"/>
  <c r="AE431" i="1"/>
  <c r="AB431" i="1"/>
  <c r="S431" i="1"/>
  <c r="AS430" i="1"/>
  <c r="AM430" i="1"/>
  <c r="AL430" i="1"/>
  <c r="AH430" i="1"/>
  <c r="AI430" i="1" s="1"/>
  <c r="AB430" i="1"/>
  <c r="U430" i="1"/>
  <c r="AE430" i="1" s="1"/>
  <c r="T430" i="1"/>
  <c r="AF430" i="1" s="1"/>
  <c r="AS429" i="1"/>
  <c r="AM429" i="1"/>
  <c r="AL429" i="1"/>
  <c r="AH429" i="1"/>
  <c r="AI429" i="1" s="1"/>
  <c r="AE429" i="1"/>
  <c r="AB429" i="1"/>
  <c r="T429" i="1"/>
  <c r="AF429" i="1" s="1"/>
  <c r="AS428" i="1"/>
  <c r="AM428" i="1"/>
  <c r="AL428" i="1"/>
  <c r="AH428" i="1"/>
  <c r="AB428" i="1"/>
  <c r="U428" i="1"/>
  <c r="AE428" i="1" s="1"/>
  <c r="T428" i="1"/>
  <c r="AF428" i="1" s="1"/>
  <c r="AS427" i="1"/>
  <c r="AM427" i="1"/>
  <c r="AL427" i="1"/>
  <c r="AI427" i="1"/>
  <c r="AH427" i="1"/>
  <c r="AN427" i="1" s="1"/>
  <c r="AB427" i="1"/>
  <c r="U427" i="1"/>
  <c r="AE427" i="1" s="1"/>
  <c r="T427" i="1"/>
  <c r="AF427" i="1" s="1"/>
  <c r="AS426" i="1"/>
  <c r="AM426" i="1"/>
  <c r="AL426" i="1"/>
  <c r="AH426" i="1"/>
  <c r="AF426" i="1"/>
  <c r="AE426" i="1"/>
  <c r="AB426" i="1"/>
  <c r="S426" i="1"/>
  <c r="AS425" i="1"/>
  <c r="AM425" i="1"/>
  <c r="AL425" i="1"/>
  <c r="AH425" i="1"/>
  <c r="AI425" i="1" s="1"/>
  <c r="AF425" i="1"/>
  <c r="AE425" i="1"/>
  <c r="AB425" i="1"/>
  <c r="S425" i="1"/>
  <c r="AS424" i="1"/>
  <c r="AM424" i="1"/>
  <c r="AL424" i="1"/>
  <c r="AI424" i="1"/>
  <c r="AH424" i="1"/>
  <c r="AN424" i="1" s="1"/>
  <c r="AE424" i="1"/>
  <c r="AB424" i="1"/>
  <c r="T424" i="1"/>
  <c r="AS423" i="1"/>
  <c r="AM423" i="1"/>
  <c r="AL423" i="1"/>
  <c r="AH423" i="1"/>
  <c r="AI423" i="1" s="1"/>
  <c r="AF423" i="1"/>
  <c r="AE423" i="1"/>
  <c r="AB423" i="1"/>
  <c r="S423" i="1"/>
  <c r="AS422" i="1"/>
  <c r="AN422" i="1"/>
  <c r="AM422" i="1"/>
  <c r="AL422" i="1"/>
  <c r="AH422" i="1"/>
  <c r="AI422" i="1" s="1"/>
  <c r="AF422" i="1"/>
  <c r="AE422" i="1"/>
  <c r="AB422" i="1"/>
  <c r="T422" i="1"/>
  <c r="S422" i="1"/>
  <c r="AS421" i="1"/>
  <c r="AM421" i="1"/>
  <c r="AL421" i="1"/>
  <c r="AH421" i="1"/>
  <c r="AI421" i="1" s="1"/>
  <c r="AF421" i="1"/>
  <c r="AE421" i="1"/>
  <c r="AB421" i="1"/>
  <c r="S421" i="1"/>
  <c r="AS420" i="1"/>
  <c r="AM420" i="1"/>
  <c r="AL420" i="1"/>
  <c r="AH420" i="1"/>
  <c r="AN420" i="1" s="1"/>
  <c r="AE420" i="1"/>
  <c r="AB420" i="1"/>
  <c r="T420" i="1"/>
  <c r="AF420" i="1" s="1"/>
  <c r="AS419" i="1"/>
  <c r="AM419" i="1"/>
  <c r="AL419" i="1"/>
  <c r="AH419" i="1"/>
  <c r="AI419" i="1" s="1"/>
  <c r="AF419" i="1"/>
  <c r="AE419" i="1"/>
  <c r="AB419" i="1"/>
  <c r="S419" i="1"/>
  <c r="AS418" i="1"/>
  <c r="AM418" i="1"/>
  <c r="AL418" i="1"/>
  <c r="AH418" i="1"/>
  <c r="AE418" i="1"/>
  <c r="AB418" i="1"/>
  <c r="T418" i="1"/>
  <c r="AS417" i="1"/>
  <c r="AM417" i="1"/>
  <c r="AL417" i="1"/>
  <c r="AH417" i="1"/>
  <c r="AF417" i="1"/>
  <c r="AE417" i="1"/>
  <c r="AB417" i="1"/>
  <c r="S417" i="1"/>
  <c r="AS416" i="1"/>
  <c r="AM416" i="1"/>
  <c r="AL416" i="1"/>
  <c r="AH416" i="1"/>
  <c r="AI416" i="1" s="1"/>
  <c r="AE416" i="1"/>
  <c r="AB416" i="1"/>
  <c r="T416" i="1"/>
  <c r="AS415" i="1"/>
  <c r="AM415" i="1"/>
  <c r="AL415" i="1"/>
  <c r="AH415" i="1"/>
  <c r="AF415" i="1"/>
  <c r="AE415" i="1"/>
  <c r="AB415" i="1"/>
  <c r="S415" i="1"/>
  <c r="AS414" i="1"/>
  <c r="AM414" i="1"/>
  <c r="AL414" i="1"/>
  <c r="AH414" i="1"/>
  <c r="AE414" i="1"/>
  <c r="AB414" i="1"/>
  <c r="T414" i="1"/>
  <c r="AS413" i="1"/>
  <c r="AM413" i="1"/>
  <c r="AL413" i="1"/>
  <c r="AH413" i="1"/>
  <c r="AI413" i="1" s="1"/>
  <c r="AF413" i="1"/>
  <c r="AE413" i="1"/>
  <c r="AB413" i="1"/>
  <c r="S413" i="1"/>
  <c r="AS412" i="1"/>
  <c r="AM412" i="1"/>
  <c r="AL412" i="1"/>
  <c r="AH412" i="1"/>
  <c r="AF412" i="1"/>
  <c r="AE412" i="1"/>
  <c r="AB412" i="1"/>
  <c r="T412" i="1"/>
  <c r="S412" i="1"/>
  <c r="AS411" i="1"/>
  <c r="AM411" i="1"/>
  <c r="AL411" i="1"/>
  <c r="AH411" i="1"/>
  <c r="AI411" i="1" s="1"/>
  <c r="AF411" i="1"/>
  <c r="AE411" i="1"/>
  <c r="S411" i="1"/>
  <c r="AS410" i="1"/>
  <c r="AM410" i="1"/>
  <c r="AL410" i="1"/>
  <c r="AH410" i="1"/>
  <c r="AN410" i="1" s="1"/>
  <c r="AE410" i="1"/>
  <c r="T410" i="1"/>
  <c r="AS409" i="1"/>
  <c r="AM409" i="1"/>
  <c r="AL409" i="1"/>
  <c r="AH409" i="1"/>
  <c r="AI409" i="1" s="1"/>
  <c r="AF409" i="1"/>
  <c r="AE409" i="1"/>
  <c r="AB409" i="1"/>
  <c r="S409" i="1"/>
  <c r="AS408" i="1"/>
  <c r="AM408" i="1"/>
  <c r="AL408" i="1"/>
  <c r="AH408" i="1"/>
  <c r="AN408" i="1" s="1"/>
  <c r="AE408" i="1"/>
  <c r="AB408" i="1"/>
  <c r="T408" i="1"/>
  <c r="AF408" i="1" s="1"/>
  <c r="AS407" i="1"/>
  <c r="AM407" i="1"/>
  <c r="AL407" i="1"/>
  <c r="AH407" i="1"/>
  <c r="AI407" i="1" s="1"/>
  <c r="AF407" i="1"/>
  <c r="AE407" i="1"/>
  <c r="AB407" i="1"/>
  <c r="S407" i="1"/>
  <c r="AS406" i="1"/>
  <c r="AN406" i="1"/>
  <c r="AM406" i="1"/>
  <c r="AL406" i="1"/>
  <c r="AH406" i="1"/>
  <c r="AI406" i="1" s="1"/>
  <c r="AF406" i="1"/>
  <c r="AE406" i="1"/>
  <c r="AB406" i="1"/>
  <c r="T406" i="1"/>
  <c r="S406" i="1"/>
  <c r="AS405" i="1"/>
  <c r="AM405" i="1"/>
  <c r="AL405" i="1"/>
  <c r="AH405" i="1"/>
  <c r="AN405" i="1" s="1"/>
  <c r="AF405" i="1"/>
  <c r="AE405" i="1"/>
  <c r="S405" i="1"/>
  <c r="AS404" i="1"/>
  <c r="AM404" i="1"/>
  <c r="AL404" i="1"/>
  <c r="AH404" i="1"/>
  <c r="AE404" i="1"/>
  <c r="T404" i="1"/>
  <c r="AF404" i="1" s="1"/>
  <c r="AS403" i="1"/>
  <c r="AM403" i="1"/>
  <c r="AL403" i="1"/>
  <c r="AH403" i="1"/>
  <c r="AN403" i="1" s="1"/>
  <c r="AF403" i="1"/>
  <c r="AE403" i="1"/>
  <c r="AB403" i="1"/>
  <c r="S403" i="1"/>
  <c r="AS402" i="1"/>
  <c r="AM402" i="1"/>
  <c r="AL402" i="1"/>
  <c r="AH402" i="1"/>
  <c r="AF402" i="1"/>
  <c r="AE402" i="1"/>
  <c r="AB402" i="1"/>
  <c r="S402" i="1"/>
  <c r="AS401" i="1"/>
  <c r="AM401" i="1"/>
  <c r="AL401" i="1"/>
  <c r="AH401" i="1"/>
  <c r="AN401" i="1" s="1"/>
  <c r="AF401" i="1"/>
  <c r="AE401" i="1"/>
  <c r="AB401" i="1"/>
  <c r="S401" i="1"/>
  <c r="AS400" i="1"/>
  <c r="AM400" i="1"/>
  <c r="AL400" i="1"/>
  <c r="AH400" i="1"/>
  <c r="AF400" i="1"/>
  <c r="AE400" i="1"/>
  <c r="AB400" i="1"/>
  <c r="S400" i="1"/>
  <c r="AS399" i="1"/>
  <c r="AM399" i="1"/>
  <c r="AL399" i="1"/>
  <c r="AH399" i="1"/>
  <c r="AF399" i="1"/>
  <c r="AE399" i="1"/>
  <c r="AB399" i="1"/>
  <c r="S399" i="1"/>
  <c r="AS398" i="1"/>
  <c r="AM398" i="1"/>
  <c r="AL398" i="1"/>
  <c r="AH398" i="1"/>
  <c r="AF398" i="1"/>
  <c r="AE398" i="1"/>
  <c r="AB398" i="1"/>
  <c r="S398" i="1"/>
  <c r="AS397" i="1"/>
  <c r="AM397" i="1"/>
  <c r="AL397" i="1"/>
  <c r="AH397" i="1"/>
  <c r="AN397" i="1" s="1"/>
  <c r="AF397" i="1"/>
  <c r="AE397" i="1"/>
  <c r="AB397" i="1"/>
  <c r="S397" i="1"/>
  <c r="AS396" i="1"/>
  <c r="AM396" i="1"/>
  <c r="AL396" i="1"/>
  <c r="AH396" i="1"/>
  <c r="AF396" i="1"/>
  <c r="AE396" i="1"/>
  <c r="AB396" i="1"/>
  <c r="S396" i="1"/>
  <c r="AS395" i="1"/>
  <c r="AM395" i="1"/>
  <c r="AL395" i="1"/>
  <c r="AH395" i="1"/>
  <c r="AN395" i="1" s="1"/>
  <c r="AF395" i="1"/>
  <c r="AE395" i="1"/>
  <c r="AB395" i="1"/>
  <c r="S395" i="1"/>
  <c r="AS394" i="1"/>
  <c r="AM394" i="1"/>
  <c r="AL394" i="1"/>
  <c r="AH394" i="1"/>
  <c r="AF394" i="1"/>
  <c r="AE394" i="1"/>
  <c r="AB394" i="1"/>
  <c r="S394" i="1"/>
  <c r="AS393" i="1"/>
  <c r="AM393" i="1"/>
  <c r="AL393" i="1"/>
  <c r="AI393" i="1"/>
  <c r="AH393" i="1"/>
  <c r="AN393" i="1" s="1"/>
  <c r="AF393" i="1"/>
  <c r="AE393" i="1"/>
  <c r="AB393" i="1"/>
  <c r="S393" i="1"/>
  <c r="AS392" i="1"/>
  <c r="AM392" i="1"/>
  <c r="AL392" i="1"/>
  <c r="AH392" i="1"/>
  <c r="AF392" i="1"/>
  <c r="AE392" i="1"/>
  <c r="AB392" i="1"/>
  <c r="S392" i="1"/>
  <c r="AS391" i="1"/>
  <c r="AM391" i="1"/>
  <c r="AL391" i="1"/>
  <c r="AH391" i="1"/>
  <c r="AF391" i="1"/>
  <c r="AE391" i="1"/>
  <c r="AB391" i="1"/>
  <c r="S391" i="1"/>
  <c r="AS390" i="1"/>
  <c r="AM390" i="1"/>
  <c r="AL390" i="1"/>
  <c r="AH390" i="1"/>
  <c r="AF390" i="1"/>
  <c r="AE390" i="1"/>
  <c r="AB390" i="1"/>
  <c r="S390" i="1"/>
  <c r="AS389" i="1"/>
  <c r="AM389" i="1"/>
  <c r="AL389" i="1"/>
  <c r="AH389" i="1"/>
  <c r="AN389" i="1" s="1"/>
  <c r="AF389" i="1"/>
  <c r="AE389" i="1"/>
  <c r="AB389" i="1"/>
  <c r="S389" i="1"/>
  <c r="AS388" i="1"/>
  <c r="AM388" i="1"/>
  <c r="AL388" i="1"/>
  <c r="AH388" i="1"/>
  <c r="AF388" i="1"/>
  <c r="AE388" i="1"/>
  <c r="AB388" i="1"/>
  <c r="S388" i="1"/>
  <c r="AS387" i="1"/>
  <c r="AM387" i="1"/>
  <c r="AL387" i="1"/>
  <c r="AH387" i="1"/>
  <c r="AN387" i="1" s="1"/>
  <c r="AF387" i="1"/>
  <c r="AE387" i="1"/>
  <c r="AB387" i="1"/>
  <c r="S387" i="1"/>
  <c r="AS386" i="1"/>
  <c r="AN386" i="1"/>
  <c r="AM386" i="1"/>
  <c r="AL386" i="1"/>
  <c r="AI386" i="1"/>
  <c r="AF386" i="1"/>
  <c r="AE386" i="1"/>
  <c r="AB386" i="1"/>
  <c r="S386" i="1"/>
  <c r="AR385" i="1"/>
  <c r="AS385" i="1" s="1"/>
  <c r="AM385" i="1"/>
  <c r="AL385" i="1"/>
  <c r="AH385" i="1"/>
  <c r="AI385" i="1" s="1"/>
  <c r="AF385" i="1"/>
  <c r="AE385" i="1"/>
  <c r="AA385" i="1"/>
  <c r="AB385" i="1" s="1"/>
  <c r="S385" i="1"/>
  <c r="AS384" i="1"/>
  <c r="AN384" i="1"/>
  <c r="AM384" i="1"/>
  <c r="AI384" i="1"/>
  <c r="AF384" i="1"/>
  <c r="AE384" i="1"/>
  <c r="AB384" i="1"/>
  <c r="S384" i="1"/>
  <c r="AR383" i="1"/>
  <c r="AS383" i="1" s="1"/>
  <c r="AM383" i="1"/>
  <c r="AL383" i="1"/>
  <c r="AH383" i="1"/>
  <c r="AN383" i="1" s="1"/>
  <c r="AF383" i="1"/>
  <c r="AE383" i="1"/>
  <c r="AB383" i="1"/>
  <c r="S383" i="1"/>
  <c r="AT383" i="1" s="1"/>
  <c r="AR382" i="1"/>
  <c r="AS382" i="1" s="1"/>
  <c r="AM382" i="1"/>
  <c r="AL382" i="1"/>
  <c r="AH382" i="1"/>
  <c r="AN382" i="1" s="1"/>
  <c r="AF382" i="1"/>
  <c r="AE382" i="1"/>
  <c r="AB382" i="1"/>
  <c r="S382" i="1"/>
  <c r="AR381" i="1"/>
  <c r="AS381" i="1" s="1"/>
  <c r="AM381" i="1"/>
  <c r="AL381" i="1"/>
  <c r="AH381" i="1"/>
  <c r="AI381" i="1" s="1"/>
  <c r="AF381" i="1"/>
  <c r="AE381" i="1"/>
  <c r="AB381" i="1"/>
  <c r="S381" i="1"/>
  <c r="AS380" i="1"/>
  <c r="AN380" i="1"/>
  <c r="AM380" i="1"/>
  <c r="AL380" i="1"/>
  <c r="AI380" i="1"/>
  <c r="AF380" i="1"/>
  <c r="AE380" i="1"/>
  <c r="AB380" i="1"/>
  <c r="S380" i="1"/>
  <c r="AR379" i="1"/>
  <c r="AS379" i="1" s="1"/>
  <c r="AM379" i="1"/>
  <c r="AL379" i="1"/>
  <c r="AH379" i="1"/>
  <c r="AI379" i="1" s="1"/>
  <c r="AE379" i="1"/>
  <c r="AB379" i="1"/>
  <c r="T379" i="1"/>
  <c r="AF379" i="1" s="1"/>
  <c r="AR378" i="1"/>
  <c r="AS378" i="1" s="1"/>
  <c r="AM378" i="1"/>
  <c r="AL378" i="1"/>
  <c r="AH378" i="1"/>
  <c r="AF378" i="1"/>
  <c r="AE378" i="1"/>
  <c r="AB378" i="1"/>
  <c r="S378" i="1"/>
  <c r="AS377" i="1"/>
  <c r="AM377" i="1"/>
  <c r="AL377" i="1"/>
  <c r="AH377" i="1"/>
  <c r="AF377" i="1"/>
  <c r="AE377" i="1"/>
  <c r="AB377" i="1"/>
  <c r="S377" i="1"/>
  <c r="AS376" i="1"/>
  <c r="AM376" i="1"/>
  <c r="AL376" i="1"/>
  <c r="AH376" i="1"/>
  <c r="AE376" i="1"/>
  <c r="AB376" i="1"/>
  <c r="T376" i="1"/>
  <c r="AS375" i="1"/>
  <c r="AM375" i="1"/>
  <c r="AL375" i="1"/>
  <c r="AH375" i="1"/>
  <c r="AF375" i="1"/>
  <c r="AE375" i="1"/>
  <c r="AB375" i="1"/>
  <c r="S375" i="1"/>
  <c r="AS374" i="1"/>
  <c r="AM374" i="1"/>
  <c r="AL374" i="1"/>
  <c r="AI374" i="1"/>
  <c r="AH374" i="1"/>
  <c r="AN374" i="1" s="1"/>
  <c r="AE374" i="1"/>
  <c r="AB374" i="1"/>
  <c r="T374" i="1"/>
  <c r="AR373" i="1"/>
  <c r="AS373" i="1" s="1"/>
  <c r="AM373" i="1"/>
  <c r="AL373" i="1"/>
  <c r="AH373" i="1"/>
  <c r="AN373" i="1" s="1"/>
  <c r="AE373" i="1"/>
  <c r="AB373" i="1"/>
  <c r="T373" i="1"/>
  <c r="AF373" i="1" s="1"/>
  <c r="AS372" i="1"/>
  <c r="AN372" i="1"/>
  <c r="AM372" i="1"/>
  <c r="AL372" i="1"/>
  <c r="AI372" i="1"/>
  <c r="AF372" i="1"/>
  <c r="AE372" i="1"/>
  <c r="AB372" i="1"/>
  <c r="S372" i="1"/>
  <c r="AR371" i="1"/>
  <c r="AS371" i="1" s="1"/>
  <c r="AM371" i="1"/>
  <c r="AL371" i="1"/>
  <c r="AH371" i="1"/>
  <c r="AI371" i="1" s="1"/>
  <c r="AE371" i="1"/>
  <c r="AB371" i="1"/>
  <c r="T371" i="1"/>
  <c r="AS370" i="1"/>
  <c r="AN370" i="1"/>
  <c r="AM370" i="1"/>
  <c r="AL370" i="1"/>
  <c r="AI370" i="1"/>
  <c r="AE370" i="1"/>
  <c r="AB370" i="1"/>
  <c r="U370" i="1"/>
  <c r="T370" i="1"/>
  <c r="AF370" i="1" s="1"/>
  <c r="AS369" i="1"/>
  <c r="AM369" i="1"/>
  <c r="AL369" i="1"/>
  <c r="AI369" i="1"/>
  <c r="AF369" i="1"/>
  <c r="AE369" i="1"/>
  <c r="AA369" i="1"/>
  <c r="AN369" i="1" s="1"/>
  <c r="S369" i="1"/>
  <c r="AS368" i="1"/>
  <c r="AM368" i="1"/>
  <c r="AL368" i="1"/>
  <c r="AH368" i="1"/>
  <c r="AN368" i="1" s="1"/>
  <c r="AE368" i="1"/>
  <c r="AB368" i="1"/>
  <c r="T368" i="1"/>
  <c r="AS367" i="1"/>
  <c r="AM367" i="1"/>
  <c r="AL367" i="1"/>
  <c r="AH367" i="1"/>
  <c r="AN367" i="1" s="1"/>
  <c r="AE367" i="1"/>
  <c r="AB367" i="1"/>
  <c r="T367" i="1"/>
  <c r="AF367" i="1" s="1"/>
  <c r="AS366" i="1"/>
  <c r="AM366" i="1"/>
  <c r="AL366" i="1"/>
  <c r="AH366" i="1"/>
  <c r="AN366" i="1" s="1"/>
  <c r="AE366" i="1"/>
  <c r="AB366" i="1"/>
  <c r="T366" i="1"/>
  <c r="AF366" i="1" s="1"/>
  <c r="AS365" i="1"/>
  <c r="AM365" i="1"/>
  <c r="AL365" i="1"/>
  <c r="AH365" i="1"/>
  <c r="AN365" i="1" s="1"/>
  <c r="AE365" i="1"/>
  <c r="AB365" i="1"/>
  <c r="T365" i="1"/>
  <c r="AF365" i="1" s="1"/>
  <c r="AS364" i="1"/>
  <c r="AM364" i="1"/>
  <c r="AL364" i="1"/>
  <c r="AH364" i="1"/>
  <c r="AF364" i="1"/>
  <c r="AE364" i="1"/>
  <c r="AB364" i="1"/>
  <c r="S364" i="1"/>
  <c r="AS363" i="1"/>
  <c r="AM363" i="1"/>
  <c r="AL363" i="1"/>
  <c r="AH363" i="1"/>
  <c r="AN363" i="1" s="1"/>
  <c r="AF363" i="1"/>
  <c r="AE363" i="1"/>
  <c r="AB363" i="1"/>
  <c r="S363" i="1"/>
  <c r="AS362" i="1"/>
  <c r="AM362" i="1"/>
  <c r="AL362" i="1"/>
  <c r="AH362" i="1"/>
  <c r="AN362" i="1" s="1"/>
  <c r="AF362" i="1"/>
  <c r="AE362" i="1"/>
  <c r="AB362" i="1"/>
  <c r="S362" i="1"/>
  <c r="AS361" i="1"/>
  <c r="AM361" i="1"/>
  <c r="AL361" i="1"/>
  <c r="AH361" i="1"/>
  <c r="AN361" i="1" s="1"/>
  <c r="AF361" i="1"/>
  <c r="AE361" i="1"/>
  <c r="AB361" i="1"/>
  <c r="S361" i="1"/>
  <c r="AS360" i="1"/>
  <c r="AM360" i="1"/>
  <c r="AL360" i="1"/>
  <c r="AH360" i="1"/>
  <c r="AN360" i="1" s="1"/>
  <c r="AF360" i="1"/>
  <c r="AE360" i="1"/>
  <c r="AB360" i="1"/>
  <c r="S360" i="1"/>
  <c r="AS359" i="1"/>
  <c r="AM359" i="1"/>
  <c r="AL359" i="1"/>
  <c r="AH359" i="1"/>
  <c r="AN359" i="1" s="1"/>
  <c r="AF359" i="1"/>
  <c r="AE359" i="1"/>
  <c r="AB359" i="1"/>
  <c r="S359" i="1"/>
  <c r="AS358" i="1"/>
  <c r="AM358" i="1"/>
  <c r="AL358" i="1"/>
  <c r="AI358" i="1"/>
  <c r="AH358" i="1"/>
  <c r="AN358" i="1" s="1"/>
  <c r="AF358" i="1"/>
  <c r="AE358" i="1"/>
  <c r="AB358" i="1"/>
  <c r="S358" i="1"/>
  <c r="AS357" i="1"/>
  <c r="AM357" i="1"/>
  <c r="AL357" i="1"/>
  <c r="AH357" i="1"/>
  <c r="AI357" i="1" s="1"/>
  <c r="AF357" i="1"/>
  <c r="AE357" i="1"/>
  <c r="AB357" i="1"/>
  <c r="S357" i="1"/>
  <c r="AS356" i="1"/>
  <c r="AM356" i="1"/>
  <c r="AL356" i="1"/>
  <c r="AH356" i="1"/>
  <c r="AN356" i="1" s="1"/>
  <c r="AF356" i="1"/>
  <c r="AE356" i="1"/>
  <c r="AB356" i="1"/>
  <c r="S356" i="1"/>
  <c r="AS355" i="1"/>
  <c r="AM355" i="1"/>
  <c r="AL355" i="1"/>
  <c r="AH355" i="1"/>
  <c r="AI355" i="1" s="1"/>
  <c r="AF355" i="1"/>
  <c r="AE355" i="1"/>
  <c r="AB355" i="1"/>
  <c r="S355" i="1"/>
  <c r="AS354" i="1"/>
  <c r="AM354" i="1"/>
  <c r="AL354" i="1"/>
  <c r="AH354" i="1"/>
  <c r="AN354" i="1" s="1"/>
  <c r="AF354" i="1"/>
  <c r="AE354" i="1"/>
  <c r="AB354" i="1"/>
  <c r="S354" i="1"/>
  <c r="AS353" i="1"/>
  <c r="AM353" i="1"/>
  <c r="AL353" i="1"/>
  <c r="AH353" i="1"/>
  <c r="AI353" i="1" s="1"/>
  <c r="AF353" i="1"/>
  <c r="AE353" i="1"/>
  <c r="AB353" i="1"/>
  <c r="S353" i="1"/>
  <c r="AS352" i="1"/>
  <c r="AM352" i="1"/>
  <c r="AL352" i="1"/>
  <c r="AH352" i="1"/>
  <c r="AF352" i="1"/>
  <c r="AE352" i="1"/>
  <c r="AB352" i="1"/>
  <c r="S352" i="1"/>
  <c r="AS351" i="1"/>
  <c r="AM351" i="1"/>
  <c r="AL351" i="1"/>
  <c r="AH351" i="1"/>
  <c r="AF351" i="1"/>
  <c r="AE351" i="1"/>
  <c r="AB351" i="1"/>
  <c r="S351" i="1"/>
  <c r="AS350" i="1"/>
  <c r="AM350" i="1"/>
  <c r="AL350" i="1"/>
  <c r="AH350" i="1"/>
  <c r="AN350" i="1" s="1"/>
  <c r="AF350" i="1"/>
  <c r="AE350" i="1"/>
  <c r="AB350" i="1"/>
  <c r="S350" i="1"/>
  <c r="AS349" i="1"/>
  <c r="AM349" i="1"/>
  <c r="AL349" i="1"/>
  <c r="AH349" i="1"/>
  <c r="AI349" i="1" s="1"/>
  <c r="AF349" i="1"/>
  <c r="AE349" i="1"/>
  <c r="AB349" i="1"/>
  <c r="S349" i="1"/>
  <c r="AR348" i="1"/>
  <c r="AS348" i="1" s="1"/>
  <c r="AM348" i="1"/>
  <c r="AL348" i="1"/>
  <c r="AH348" i="1"/>
  <c r="AF348" i="1"/>
  <c r="AE348" i="1"/>
  <c r="AB348" i="1"/>
  <c r="S348" i="1"/>
  <c r="AS347" i="1"/>
  <c r="AM347" i="1"/>
  <c r="AL347" i="1"/>
  <c r="AH347" i="1"/>
  <c r="AN347" i="1" s="1"/>
  <c r="AF347" i="1"/>
  <c r="AE347" i="1"/>
  <c r="AB347" i="1"/>
  <c r="S347" i="1"/>
  <c r="AS346" i="1"/>
  <c r="AM346" i="1"/>
  <c r="AL346" i="1"/>
  <c r="AI346" i="1"/>
  <c r="AH346" i="1"/>
  <c r="AN346" i="1" s="1"/>
  <c r="AE346" i="1"/>
  <c r="AB346" i="1"/>
  <c r="T346" i="1"/>
  <c r="AF346" i="1" s="1"/>
  <c r="AS345" i="1"/>
  <c r="AM345" i="1"/>
  <c r="AL345" i="1"/>
  <c r="AH345" i="1"/>
  <c r="AF345" i="1"/>
  <c r="AE345" i="1"/>
  <c r="AB345" i="1"/>
  <c r="S345" i="1"/>
  <c r="AS344" i="1"/>
  <c r="AM344" i="1"/>
  <c r="AL344" i="1"/>
  <c r="AH344" i="1"/>
  <c r="AE344" i="1"/>
  <c r="AB344" i="1"/>
  <c r="T344" i="1"/>
  <c r="AS343" i="1"/>
  <c r="AM343" i="1"/>
  <c r="AL343" i="1"/>
  <c r="AH343" i="1"/>
  <c r="AN343" i="1" s="1"/>
  <c r="AF343" i="1"/>
  <c r="AE343" i="1"/>
  <c r="AB343" i="1"/>
  <c r="S343" i="1"/>
  <c r="AS342" i="1"/>
  <c r="AM342" i="1"/>
  <c r="AL342" i="1"/>
  <c r="AH342" i="1"/>
  <c r="AI342" i="1" s="1"/>
  <c r="AE342" i="1"/>
  <c r="AB342" i="1"/>
  <c r="T342" i="1"/>
  <c r="AS341" i="1"/>
  <c r="AM341" i="1"/>
  <c r="AL341" i="1"/>
  <c r="AH341" i="1"/>
  <c r="AN341" i="1" s="1"/>
  <c r="AE341" i="1"/>
  <c r="AB341" i="1"/>
  <c r="T341" i="1"/>
  <c r="AF341" i="1" s="1"/>
  <c r="AR340" i="1"/>
  <c r="AS340" i="1" s="1"/>
  <c r="AM340" i="1"/>
  <c r="AL340" i="1"/>
  <c r="AH340" i="1"/>
  <c r="AI340" i="1" s="1"/>
  <c r="AE340" i="1"/>
  <c r="AB340" i="1"/>
  <c r="T340" i="1"/>
  <c r="AF340" i="1" s="1"/>
  <c r="AS339" i="1"/>
  <c r="AN339" i="1"/>
  <c r="AL339" i="1"/>
  <c r="AG339" i="1"/>
  <c r="Z339" i="1"/>
  <c r="AB339" i="1" s="1"/>
  <c r="U339" i="1"/>
  <c r="AE339" i="1" s="1"/>
  <c r="T339" i="1"/>
  <c r="AS338" i="1"/>
  <c r="AM338" i="1"/>
  <c r="AL338" i="1"/>
  <c r="AH338" i="1"/>
  <c r="AN338" i="1" s="1"/>
  <c r="AF338" i="1"/>
  <c r="AE338" i="1"/>
  <c r="AB338" i="1"/>
  <c r="S338" i="1"/>
  <c r="AS337" i="1"/>
  <c r="AN337" i="1"/>
  <c r="AM337" i="1"/>
  <c r="AL337" i="1"/>
  <c r="AI337" i="1"/>
  <c r="AF337" i="1"/>
  <c r="AE337" i="1"/>
  <c r="AB337" i="1"/>
  <c r="S337" i="1"/>
  <c r="AS336" i="1"/>
  <c r="AN336" i="1"/>
  <c r="AM336" i="1"/>
  <c r="AL336" i="1"/>
  <c r="AI336" i="1"/>
  <c r="AF336" i="1"/>
  <c r="AE336" i="1"/>
  <c r="AB336" i="1"/>
  <c r="S336" i="1"/>
  <c r="AS335" i="1"/>
  <c r="AN335" i="1"/>
  <c r="AM335" i="1"/>
  <c r="AL335" i="1"/>
  <c r="AI335" i="1"/>
  <c r="AF335" i="1"/>
  <c r="AE335" i="1"/>
  <c r="AB335" i="1"/>
  <c r="S335" i="1"/>
  <c r="AS334" i="1"/>
  <c r="AM334" i="1"/>
  <c r="AL334" i="1"/>
  <c r="AH334" i="1"/>
  <c r="AN334" i="1" s="1"/>
  <c r="AE334" i="1"/>
  <c r="AB334" i="1"/>
  <c r="T334" i="1"/>
  <c r="AF334" i="1" s="1"/>
  <c r="AS333" i="1"/>
  <c r="AM333" i="1"/>
  <c r="AL333" i="1"/>
  <c r="AH333" i="1"/>
  <c r="AI333" i="1" s="1"/>
  <c r="AF333" i="1"/>
  <c r="AE333" i="1"/>
  <c r="AB333" i="1"/>
  <c r="T333" i="1"/>
  <c r="S333" i="1"/>
  <c r="AS332" i="1"/>
  <c r="AM332" i="1"/>
  <c r="AL332" i="1"/>
  <c r="AH332" i="1"/>
  <c r="AN332" i="1" s="1"/>
  <c r="AF332" i="1"/>
  <c r="AE332" i="1"/>
  <c r="AB332" i="1"/>
  <c r="S332" i="1"/>
  <c r="AS331" i="1"/>
  <c r="AM331" i="1"/>
  <c r="AL331" i="1"/>
  <c r="AH331" i="1"/>
  <c r="AN331" i="1" s="1"/>
  <c r="AF331" i="1"/>
  <c r="AE331" i="1"/>
  <c r="AB331" i="1"/>
  <c r="S331" i="1"/>
  <c r="AS330" i="1"/>
  <c r="AM330" i="1"/>
  <c r="AL330" i="1"/>
  <c r="AI330" i="1"/>
  <c r="AH330" i="1"/>
  <c r="AN330" i="1" s="1"/>
  <c r="AF330" i="1"/>
  <c r="AE330" i="1"/>
  <c r="AB330" i="1"/>
  <c r="S330" i="1"/>
  <c r="AS329" i="1"/>
  <c r="AL329" i="1"/>
  <c r="AI329" i="1"/>
  <c r="AH329" i="1"/>
  <c r="AA329" i="1"/>
  <c r="Z329" i="1"/>
  <c r="U329" i="1"/>
  <c r="T329" i="1"/>
  <c r="AS328" i="1"/>
  <c r="AM328" i="1"/>
  <c r="AL328" i="1"/>
  <c r="AH328" i="1"/>
  <c r="AI328" i="1" s="1"/>
  <c r="AF328" i="1"/>
  <c r="AE328" i="1"/>
  <c r="AB328" i="1"/>
  <c r="S328" i="1"/>
  <c r="AR327" i="1"/>
  <c r="AS327" i="1" s="1"/>
  <c r="AM327" i="1"/>
  <c r="AL327" i="1"/>
  <c r="AH327" i="1"/>
  <c r="AF327" i="1"/>
  <c r="AE327" i="1"/>
  <c r="AB327" i="1"/>
  <c r="S327" i="1"/>
  <c r="AR326" i="1"/>
  <c r="AS326" i="1" s="1"/>
  <c r="AM326" i="1"/>
  <c r="AL326" i="1"/>
  <c r="AH326" i="1"/>
  <c r="AN326" i="1" s="1"/>
  <c r="AF326" i="1"/>
  <c r="AE326" i="1"/>
  <c r="AB326" i="1"/>
  <c r="S326" i="1"/>
  <c r="AR325" i="1"/>
  <c r="AS325" i="1" s="1"/>
  <c r="AM325" i="1"/>
  <c r="AL325" i="1"/>
  <c r="AH325" i="1"/>
  <c r="AN325" i="1" s="1"/>
  <c r="AF325" i="1"/>
  <c r="AE325" i="1"/>
  <c r="AB325" i="1"/>
  <c r="S325" i="1"/>
  <c r="AR324" i="1"/>
  <c r="AS324" i="1" s="1"/>
  <c r="AM324" i="1"/>
  <c r="AL324" i="1"/>
  <c r="AH324" i="1"/>
  <c r="AN324" i="1" s="1"/>
  <c r="AF324" i="1"/>
  <c r="AE324" i="1"/>
  <c r="AB324" i="1"/>
  <c r="S324" i="1"/>
  <c r="AR323" i="1"/>
  <c r="AS323" i="1" s="1"/>
  <c r="AL323" i="1"/>
  <c r="AH323" i="1"/>
  <c r="AN323" i="1" s="1"/>
  <c r="AG323" i="1"/>
  <c r="AM323" i="1" s="1"/>
  <c r="AE323" i="1"/>
  <c r="AB323" i="1"/>
  <c r="T323" i="1"/>
  <c r="AF323" i="1" s="1"/>
  <c r="AR322" i="1"/>
  <c r="AS322" i="1" s="1"/>
  <c r="AM322" i="1"/>
  <c r="AL322" i="1"/>
  <c r="AH322" i="1"/>
  <c r="AN322" i="1" s="1"/>
  <c r="AF322" i="1"/>
  <c r="AE322" i="1"/>
  <c r="AB322" i="1"/>
  <c r="S322" i="1"/>
  <c r="AS321" i="1"/>
  <c r="AM321" i="1"/>
  <c r="AL321" i="1"/>
  <c r="AI321" i="1"/>
  <c r="AF321" i="1"/>
  <c r="AE321" i="1"/>
  <c r="AA321" i="1"/>
  <c r="S321" i="1"/>
  <c r="AR320" i="1"/>
  <c r="AS320" i="1" s="1"/>
  <c r="AM320" i="1"/>
  <c r="AL320" i="1"/>
  <c r="AH320" i="1"/>
  <c r="AI320" i="1" s="1"/>
  <c r="AE320" i="1"/>
  <c r="AB320" i="1"/>
  <c r="T320" i="1"/>
  <c r="AF320" i="1" s="1"/>
  <c r="AS319" i="1"/>
  <c r="AR319" i="1"/>
  <c r="AM319" i="1"/>
  <c r="AL319" i="1"/>
  <c r="AH319" i="1"/>
  <c r="AI319" i="1" s="1"/>
  <c r="AF319" i="1"/>
  <c r="AE319" i="1"/>
  <c r="AB319" i="1"/>
  <c r="S319" i="1"/>
  <c r="AS318" i="1"/>
  <c r="AN318" i="1"/>
  <c r="AM318" i="1"/>
  <c r="AL318" i="1"/>
  <c r="AI318" i="1"/>
  <c r="AE318" i="1"/>
  <c r="AB318" i="1"/>
  <c r="T318" i="1"/>
  <c r="AF318" i="1" s="1"/>
  <c r="AS317" i="1"/>
  <c r="AN317" i="1"/>
  <c r="AM317" i="1"/>
  <c r="AL317" i="1"/>
  <c r="AI317" i="1"/>
  <c r="AE317" i="1"/>
  <c r="AB317" i="1"/>
  <c r="T317" i="1"/>
  <c r="AF317" i="1" s="1"/>
  <c r="AR316" i="1"/>
  <c r="AS316" i="1" s="1"/>
  <c r="AM316" i="1"/>
  <c r="AL316" i="1"/>
  <c r="AH316" i="1"/>
  <c r="AF316" i="1"/>
  <c r="AE316" i="1"/>
  <c r="AB316" i="1"/>
  <c r="S316" i="1"/>
  <c r="AR315" i="1"/>
  <c r="AS315" i="1" s="1"/>
  <c r="AM315" i="1"/>
  <c r="AL315" i="1"/>
  <c r="AI315" i="1"/>
  <c r="AH315" i="1"/>
  <c r="AN315" i="1" s="1"/>
  <c r="AF315" i="1"/>
  <c r="AE315" i="1"/>
  <c r="AB315" i="1"/>
  <c r="S315" i="1"/>
  <c r="AR314" i="1"/>
  <c r="AS314" i="1" s="1"/>
  <c r="AM314" i="1"/>
  <c r="AL314" i="1"/>
  <c r="AH314" i="1"/>
  <c r="AN314" i="1" s="1"/>
  <c r="AF314" i="1"/>
  <c r="AE314" i="1"/>
  <c r="AB314" i="1"/>
  <c r="S314" i="1"/>
  <c r="AS313" i="1"/>
  <c r="AM313" i="1"/>
  <c r="AL313" i="1"/>
  <c r="AI313" i="1"/>
  <c r="AF313" i="1"/>
  <c r="AE313" i="1"/>
  <c r="AA313" i="1"/>
  <c r="AN313" i="1" s="1"/>
  <c r="S313" i="1"/>
  <c r="AS312" i="1"/>
  <c r="AM312" i="1"/>
  <c r="AL312" i="1"/>
  <c r="AH312" i="1"/>
  <c r="AI312" i="1" s="1"/>
  <c r="AF312" i="1"/>
  <c r="AE312" i="1"/>
  <c r="AB312" i="1"/>
  <c r="S312" i="1"/>
  <c r="AS311" i="1"/>
  <c r="AM311" i="1"/>
  <c r="AL311" i="1"/>
  <c r="AH311" i="1"/>
  <c r="AN311" i="1" s="1"/>
  <c r="AE311" i="1"/>
  <c r="AB311" i="1"/>
  <c r="T311" i="1"/>
  <c r="AF311" i="1" s="1"/>
  <c r="AS310" i="1"/>
  <c r="AM310" i="1"/>
  <c r="AL310" i="1"/>
  <c r="AH310" i="1"/>
  <c r="AN310" i="1" s="1"/>
  <c r="AF310" i="1"/>
  <c r="AE310" i="1"/>
  <c r="S310" i="1"/>
  <c r="AS309" i="1"/>
  <c r="AM309" i="1"/>
  <c r="AL309" i="1"/>
  <c r="AH309" i="1"/>
  <c r="AN309" i="1" s="1"/>
  <c r="AF309" i="1"/>
  <c r="AE309" i="1"/>
  <c r="S309" i="1"/>
  <c r="AS308" i="1"/>
  <c r="AM308" i="1"/>
  <c r="AL308" i="1"/>
  <c r="AH308" i="1"/>
  <c r="AN308" i="1" s="1"/>
  <c r="AF308" i="1"/>
  <c r="AE308" i="1"/>
  <c r="AB308" i="1"/>
  <c r="S308" i="1"/>
  <c r="AS307" i="1"/>
  <c r="AM307" i="1"/>
  <c r="AL307" i="1"/>
  <c r="AH307" i="1"/>
  <c r="AN307" i="1" s="1"/>
  <c r="AE307" i="1"/>
  <c r="AB307" i="1"/>
  <c r="T307" i="1"/>
  <c r="AF307" i="1" s="1"/>
  <c r="AS306" i="1"/>
  <c r="AM306" i="1"/>
  <c r="AL306" i="1"/>
  <c r="AH306" i="1"/>
  <c r="AI306" i="1" s="1"/>
  <c r="AF306" i="1"/>
  <c r="AE306" i="1"/>
  <c r="AB306" i="1"/>
  <c r="S306" i="1"/>
  <c r="AS305" i="1"/>
  <c r="AM305" i="1"/>
  <c r="AL305" i="1"/>
  <c r="AH305" i="1"/>
  <c r="AN305" i="1" s="1"/>
  <c r="AF305" i="1"/>
  <c r="AE305" i="1"/>
  <c r="AB305" i="1"/>
  <c r="S305" i="1"/>
  <c r="AS304" i="1"/>
  <c r="AM304" i="1"/>
  <c r="AL304" i="1"/>
  <c r="AH304" i="1"/>
  <c r="AN304" i="1" s="1"/>
  <c r="AF304" i="1"/>
  <c r="AE304" i="1"/>
  <c r="AB304" i="1"/>
  <c r="S304" i="1"/>
  <c r="AS303" i="1"/>
  <c r="AM303" i="1"/>
  <c r="AL303" i="1"/>
  <c r="AH303" i="1"/>
  <c r="AF303" i="1"/>
  <c r="AE303" i="1"/>
  <c r="AB303" i="1"/>
  <c r="S303" i="1"/>
  <c r="AS302" i="1"/>
  <c r="AM302" i="1"/>
  <c r="AL302" i="1"/>
  <c r="AH302" i="1"/>
  <c r="AN302" i="1" s="1"/>
  <c r="AF302" i="1"/>
  <c r="AE302" i="1"/>
  <c r="AB302" i="1"/>
  <c r="S302" i="1"/>
  <c r="AS301" i="1"/>
  <c r="AM301" i="1"/>
  <c r="AL301" i="1"/>
  <c r="AH301" i="1"/>
  <c r="AN301" i="1" s="1"/>
  <c r="AF301" i="1"/>
  <c r="AE301" i="1"/>
  <c r="AB301" i="1"/>
  <c r="S301" i="1"/>
  <c r="AS300" i="1"/>
  <c r="AM300" i="1"/>
  <c r="AL300" i="1"/>
  <c r="AI300" i="1"/>
  <c r="AH300" i="1"/>
  <c r="AN300" i="1" s="1"/>
  <c r="AF300" i="1"/>
  <c r="AE300" i="1"/>
  <c r="S300" i="1"/>
  <c r="AS299" i="1"/>
  <c r="AM299" i="1"/>
  <c r="AL299" i="1"/>
  <c r="AH299" i="1"/>
  <c r="AN299" i="1" s="1"/>
  <c r="AF299" i="1"/>
  <c r="AE299" i="1"/>
  <c r="S299" i="1"/>
  <c r="AS298" i="1"/>
  <c r="AM298" i="1"/>
  <c r="AL298" i="1"/>
  <c r="AH298" i="1"/>
  <c r="AN298" i="1" s="1"/>
  <c r="AF298" i="1"/>
  <c r="AE298" i="1"/>
  <c r="AB298" i="1"/>
  <c r="S298" i="1"/>
  <c r="AS297" i="1"/>
  <c r="AM297" i="1"/>
  <c r="AL297" i="1"/>
  <c r="AI297" i="1"/>
  <c r="AH297" i="1"/>
  <c r="AN297" i="1" s="1"/>
  <c r="AE297" i="1"/>
  <c r="AB297" i="1"/>
  <c r="T297" i="1"/>
  <c r="AF297" i="1" s="1"/>
  <c r="AS296" i="1"/>
  <c r="AM296" i="1"/>
  <c r="AL296" i="1"/>
  <c r="AH296" i="1"/>
  <c r="AN296" i="1" s="1"/>
  <c r="AF296" i="1"/>
  <c r="AE296" i="1"/>
  <c r="AB296" i="1"/>
  <c r="S296" i="1"/>
  <c r="AS295" i="1"/>
  <c r="AM295" i="1"/>
  <c r="AL295" i="1"/>
  <c r="AH295" i="1"/>
  <c r="AN295" i="1" s="1"/>
  <c r="AF295" i="1"/>
  <c r="AE295" i="1"/>
  <c r="AB295" i="1"/>
  <c r="S295" i="1"/>
  <c r="AS294" i="1"/>
  <c r="AM294" i="1"/>
  <c r="AL294" i="1"/>
  <c r="AI294" i="1"/>
  <c r="AH294" i="1"/>
  <c r="AN294" i="1" s="1"/>
  <c r="AF294" i="1"/>
  <c r="AE294" i="1"/>
  <c r="AB294" i="1"/>
  <c r="S294" i="1"/>
  <c r="AS293" i="1"/>
  <c r="AM293" i="1"/>
  <c r="AL293" i="1"/>
  <c r="AH293" i="1"/>
  <c r="AN293" i="1" s="1"/>
  <c r="AF293" i="1"/>
  <c r="AE293" i="1"/>
  <c r="AB293" i="1"/>
  <c r="S293" i="1"/>
  <c r="AS292" i="1"/>
  <c r="AM292" i="1"/>
  <c r="AL292" i="1"/>
  <c r="AH292" i="1"/>
  <c r="AN292" i="1" s="1"/>
  <c r="AF292" i="1"/>
  <c r="AE292" i="1"/>
  <c r="AB292" i="1"/>
  <c r="S292" i="1"/>
  <c r="AS291" i="1"/>
  <c r="AM291" i="1"/>
  <c r="AL291" i="1"/>
  <c r="AH291" i="1"/>
  <c r="AN291" i="1" s="1"/>
  <c r="AF291" i="1"/>
  <c r="AE291" i="1"/>
  <c r="AB291" i="1"/>
  <c r="S291" i="1"/>
  <c r="AS290" i="1"/>
  <c r="AM290" i="1"/>
  <c r="AL290" i="1"/>
  <c r="AH290" i="1"/>
  <c r="AF290" i="1"/>
  <c r="AE290" i="1"/>
  <c r="AB290" i="1"/>
  <c r="S290" i="1"/>
  <c r="AS289" i="1"/>
  <c r="AM289" i="1"/>
  <c r="AL289" i="1"/>
  <c r="AH289" i="1"/>
  <c r="AN289" i="1" s="1"/>
  <c r="AF289" i="1"/>
  <c r="AE289" i="1"/>
  <c r="AB289" i="1"/>
  <c r="S289" i="1"/>
  <c r="AS288" i="1"/>
  <c r="AM288" i="1"/>
  <c r="AL288" i="1"/>
  <c r="AH288" i="1"/>
  <c r="AN288" i="1" s="1"/>
  <c r="AF288" i="1"/>
  <c r="AE288" i="1"/>
  <c r="AB288" i="1"/>
  <c r="S288" i="1"/>
  <c r="AS287" i="1"/>
  <c r="AM287" i="1"/>
  <c r="AL287" i="1"/>
  <c r="AH287" i="1"/>
  <c r="AN287" i="1" s="1"/>
  <c r="AE287" i="1"/>
  <c r="AB287" i="1"/>
  <c r="T287" i="1"/>
  <c r="AF287" i="1" s="1"/>
  <c r="AS286" i="1"/>
  <c r="AM286" i="1"/>
  <c r="AL286" i="1"/>
  <c r="AH286" i="1"/>
  <c r="AN286" i="1" s="1"/>
  <c r="AE286" i="1"/>
  <c r="AB286" i="1"/>
  <c r="T286" i="1"/>
  <c r="AF286" i="1" s="1"/>
  <c r="AS285" i="1"/>
  <c r="AM285" i="1"/>
  <c r="AL285" i="1"/>
  <c r="AH285" i="1"/>
  <c r="AN285" i="1" s="1"/>
  <c r="AE285" i="1"/>
  <c r="AB285" i="1"/>
  <c r="T285" i="1"/>
  <c r="AS284" i="1"/>
  <c r="AM284" i="1"/>
  <c r="AL284" i="1"/>
  <c r="AH284" i="1"/>
  <c r="AN284" i="1" s="1"/>
  <c r="AF284" i="1"/>
  <c r="AE284" i="1"/>
  <c r="AB284" i="1"/>
  <c r="S284" i="1"/>
  <c r="AS283" i="1"/>
  <c r="AM283" i="1"/>
  <c r="AL283" i="1"/>
  <c r="AH283" i="1"/>
  <c r="AN283" i="1" s="1"/>
  <c r="AF283" i="1"/>
  <c r="AE283" i="1"/>
  <c r="AB283" i="1"/>
  <c r="T283" i="1"/>
  <c r="S283" i="1"/>
  <c r="AS282" i="1"/>
  <c r="AM282" i="1"/>
  <c r="AL282" i="1"/>
  <c r="AH282" i="1"/>
  <c r="AI282" i="1" s="1"/>
  <c r="AF282" i="1"/>
  <c r="AE282" i="1"/>
  <c r="AB282" i="1"/>
  <c r="S282" i="1"/>
  <c r="AS281" i="1"/>
  <c r="AM281" i="1"/>
  <c r="AL281" i="1"/>
  <c r="AH281" i="1"/>
  <c r="AI281" i="1" s="1"/>
  <c r="AE281" i="1"/>
  <c r="AB281" i="1"/>
  <c r="T281" i="1"/>
  <c r="AF281" i="1" s="1"/>
  <c r="AS280" i="1"/>
  <c r="AM280" i="1"/>
  <c r="AL280" i="1"/>
  <c r="AH280" i="1"/>
  <c r="AN280" i="1" s="1"/>
  <c r="AF280" i="1"/>
  <c r="AE280" i="1"/>
  <c r="AB280" i="1"/>
  <c r="S280" i="1"/>
  <c r="AS279" i="1"/>
  <c r="AM279" i="1"/>
  <c r="AL279" i="1"/>
  <c r="AH279" i="1"/>
  <c r="AE279" i="1"/>
  <c r="AB279" i="1"/>
  <c r="T279" i="1"/>
  <c r="AF279" i="1" s="1"/>
  <c r="AS278" i="1"/>
  <c r="AM278" i="1"/>
  <c r="AL278" i="1"/>
  <c r="AH278" i="1"/>
  <c r="AI278" i="1" s="1"/>
  <c r="AF278" i="1"/>
  <c r="AE278" i="1"/>
  <c r="AB278" i="1"/>
  <c r="S278" i="1"/>
  <c r="AS277" i="1"/>
  <c r="AM277" i="1"/>
  <c r="AL277" i="1"/>
  <c r="AH277" i="1"/>
  <c r="AI277" i="1" s="1"/>
  <c r="AF277" i="1"/>
  <c r="AE277" i="1"/>
  <c r="AB277" i="1"/>
  <c r="S277" i="1"/>
  <c r="AS276" i="1"/>
  <c r="AM276" i="1"/>
  <c r="AL276" i="1"/>
  <c r="AH276" i="1"/>
  <c r="AI276" i="1" s="1"/>
  <c r="AF276" i="1"/>
  <c r="AE276" i="1"/>
  <c r="AB276" i="1"/>
  <c r="S276" i="1"/>
  <c r="AS275" i="1"/>
  <c r="AM275" i="1"/>
  <c r="AL275" i="1"/>
  <c r="AH275" i="1"/>
  <c r="AN275" i="1" s="1"/>
  <c r="AE275" i="1"/>
  <c r="AB275" i="1"/>
  <c r="T275" i="1"/>
  <c r="AS274" i="1"/>
  <c r="AM274" i="1"/>
  <c r="AL274" i="1"/>
  <c r="AH274" i="1"/>
  <c r="AN274" i="1" s="1"/>
  <c r="AF274" i="1"/>
  <c r="AE274" i="1"/>
  <c r="AB274" i="1"/>
  <c r="S274" i="1"/>
  <c r="AS273" i="1"/>
  <c r="AM273" i="1"/>
  <c r="AL273" i="1"/>
  <c r="AH273" i="1"/>
  <c r="AI273" i="1" s="1"/>
  <c r="AF273" i="1"/>
  <c r="AE273" i="1"/>
  <c r="AB273" i="1"/>
  <c r="S273" i="1"/>
  <c r="AS272" i="1"/>
  <c r="AM272" i="1"/>
  <c r="AL272" i="1"/>
  <c r="AH272" i="1"/>
  <c r="AF272" i="1"/>
  <c r="AE272" i="1"/>
  <c r="AB272" i="1"/>
  <c r="S272" i="1"/>
  <c r="AS271" i="1"/>
  <c r="AM271" i="1"/>
  <c r="AL271" i="1"/>
  <c r="AH271" i="1"/>
  <c r="AE271" i="1"/>
  <c r="AB271" i="1"/>
  <c r="T271" i="1"/>
  <c r="AS270" i="1"/>
  <c r="AM270" i="1"/>
  <c r="AL270" i="1"/>
  <c r="AH270" i="1"/>
  <c r="AI270" i="1" s="1"/>
  <c r="AF270" i="1"/>
  <c r="AE270" i="1"/>
  <c r="AB270" i="1"/>
  <c r="S270" i="1"/>
  <c r="AS269" i="1"/>
  <c r="AM269" i="1"/>
  <c r="AL269" i="1"/>
  <c r="AH269" i="1"/>
  <c r="AN269" i="1" s="1"/>
  <c r="AE269" i="1"/>
  <c r="AB269" i="1"/>
  <c r="T269" i="1"/>
  <c r="AR268" i="1"/>
  <c r="AS268" i="1" s="1"/>
  <c r="AM268" i="1"/>
  <c r="AL268" i="1"/>
  <c r="AH268" i="1"/>
  <c r="AN268" i="1" s="1"/>
  <c r="AF268" i="1"/>
  <c r="AE268" i="1"/>
  <c r="AB268" i="1"/>
  <c r="S268" i="1"/>
  <c r="AR267" i="1"/>
  <c r="AS267" i="1" s="1"/>
  <c r="AM267" i="1"/>
  <c r="AL267" i="1"/>
  <c r="AH267" i="1"/>
  <c r="AI267" i="1" s="1"/>
  <c r="AF267" i="1"/>
  <c r="AE267" i="1"/>
  <c r="AB267" i="1"/>
  <c r="S267" i="1"/>
  <c r="AR266" i="1"/>
  <c r="AS266" i="1" s="1"/>
  <c r="AM266" i="1"/>
  <c r="AL266" i="1"/>
  <c r="AH266" i="1"/>
  <c r="AI266" i="1" s="1"/>
  <c r="AF266" i="1"/>
  <c r="AE266" i="1"/>
  <c r="AB266" i="1"/>
  <c r="S266" i="1"/>
  <c r="AR265" i="1"/>
  <c r="AS265" i="1" s="1"/>
  <c r="AM265" i="1"/>
  <c r="AL265" i="1"/>
  <c r="AH265" i="1"/>
  <c r="AN265" i="1" s="1"/>
  <c r="AF265" i="1"/>
  <c r="AE265" i="1"/>
  <c r="AB265" i="1"/>
  <c r="S265" i="1"/>
  <c r="AT265" i="1" s="1"/>
  <c r="AR264" i="1"/>
  <c r="AS264" i="1" s="1"/>
  <c r="AM264" i="1"/>
  <c r="AL264" i="1"/>
  <c r="AH264" i="1"/>
  <c r="AI264" i="1" s="1"/>
  <c r="AF264" i="1"/>
  <c r="AE264" i="1"/>
  <c r="AB264" i="1"/>
  <c r="S264" i="1"/>
  <c r="AR263" i="1"/>
  <c r="AS263" i="1" s="1"/>
  <c r="AM263" i="1"/>
  <c r="AL263" i="1"/>
  <c r="AH263" i="1"/>
  <c r="AI263" i="1" s="1"/>
  <c r="AF263" i="1"/>
  <c r="AE263" i="1"/>
  <c r="AB263" i="1"/>
  <c r="S263" i="1"/>
  <c r="AS262" i="1"/>
  <c r="AR262" i="1"/>
  <c r="AM262" i="1"/>
  <c r="AL262" i="1"/>
  <c r="AH262" i="1"/>
  <c r="AI262" i="1" s="1"/>
  <c r="AF262" i="1"/>
  <c r="AE262" i="1"/>
  <c r="AB262" i="1"/>
  <c r="S262" i="1"/>
  <c r="AR261" i="1"/>
  <c r="AS261" i="1" s="1"/>
  <c r="AM261" i="1"/>
  <c r="AL261" i="1"/>
  <c r="AH261" i="1"/>
  <c r="AI261" i="1" s="1"/>
  <c r="AF261" i="1"/>
  <c r="AE261" i="1"/>
  <c r="AB261" i="1"/>
  <c r="S261" i="1"/>
  <c r="AS260" i="1"/>
  <c r="AM260" i="1"/>
  <c r="AL260" i="1"/>
  <c r="AH260" i="1"/>
  <c r="AI260" i="1" s="1"/>
  <c r="AF260" i="1"/>
  <c r="AE260" i="1"/>
  <c r="AB260" i="1"/>
  <c r="S260" i="1"/>
  <c r="AR259" i="1"/>
  <c r="AS259" i="1" s="1"/>
  <c r="AM259" i="1"/>
  <c r="AL259" i="1"/>
  <c r="AH259" i="1"/>
  <c r="AF259" i="1"/>
  <c r="AE259" i="1"/>
  <c r="AB259" i="1"/>
  <c r="S259" i="1"/>
  <c r="AR258" i="1"/>
  <c r="AS258" i="1" s="1"/>
  <c r="AM258" i="1"/>
  <c r="AL258" i="1"/>
  <c r="AH258" i="1"/>
  <c r="AN258" i="1" s="1"/>
  <c r="AF258" i="1"/>
  <c r="AE258" i="1"/>
  <c r="AB258" i="1"/>
  <c r="S258" i="1"/>
  <c r="AR257" i="1"/>
  <c r="AS257" i="1" s="1"/>
  <c r="AM257" i="1"/>
  <c r="AL257" i="1"/>
  <c r="AH257" i="1"/>
  <c r="AI257" i="1" s="1"/>
  <c r="AE257" i="1"/>
  <c r="AB257" i="1"/>
  <c r="T257" i="1"/>
  <c r="AF257" i="1" s="1"/>
  <c r="AS256" i="1"/>
  <c r="AM256" i="1"/>
  <c r="AL256" i="1"/>
  <c r="AH256" i="1"/>
  <c r="AN256" i="1" s="1"/>
  <c r="AF256" i="1"/>
  <c r="AE256" i="1"/>
  <c r="AB256" i="1"/>
  <c r="S256" i="1"/>
  <c r="AS255" i="1"/>
  <c r="AM255" i="1"/>
  <c r="AL255" i="1"/>
  <c r="AH255" i="1"/>
  <c r="AN255" i="1" s="1"/>
  <c r="AF255" i="1"/>
  <c r="AE255" i="1"/>
  <c r="AB255" i="1"/>
  <c r="S255" i="1"/>
  <c r="AS254" i="1"/>
  <c r="AM254" i="1"/>
  <c r="AL254" i="1"/>
  <c r="AH254" i="1"/>
  <c r="AN254" i="1" s="1"/>
  <c r="AF254" i="1"/>
  <c r="AE254" i="1"/>
  <c r="AB254" i="1"/>
  <c r="S254" i="1"/>
  <c r="AR253" i="1"/>
  <c r="AS253" i="1" s="1"/>
  <c r="AM253" i="1"/>
  <c r="AL253" i="1"/>
  <c r="AH253" i="1"/>
  <c r="AI253" i="1" s="1"/>
  <c r="AF253" i="1"/>
  <c r="AE253" i="1"/>
  <c r="AB253" i="1"/>
  <c r="S253" i="1"/>
  <c r="AS252" i="1"/>
  <c r="AM252" i="1"/>
  <c r="AL252" i="1"/>
  <c r="AH252" i="1"/>
  <c r="AI252" i="1" s="1"/>
  <c r="AF252" i="1"/>
  <c r="AE252" i="1"/>
  <c r="AB252" i="1"/>
  <c r="S252" i="1"/>
  <c r="AS251" i="1"/>
  <c r="AM251" i="1"/>
  <c r="AL251" i="1"/>
  <c r="AH251" i="1"/>
  <c r="AI251" i="1" s="1"/>
  <c r="AE251" i="1"/>
  <c r="AB251" i="1"/>
  <c r="T251" i="1"/>
  <c r="AF251" i="1" s="1"/>
  <c r="AS250" i="1"/>
  <c r="AM250" i="1"/>
  <c r="AL250" i="1"/>
  <c r="AH250" i="1"/>
  <c r="AF250" i="1"/>
  <c r="AE250" i="1"/>
  <c r="AB250" i="1"/>
  <c r="S250" i="1"/>
  <c r="AS249" i="1"/>
  <c r="AM249" i="1"/>
  <c r="AL249" i="1"/>
  <c r="AH249" i="1"/>
  <c r="AN249" i="1" s="1"/>
  <c r="AE249" i="1"/>
  <c r="AB249" i="1"/>
  <c r="T249" i="1"/>
  <c r="AF249" i="1" s="1"/>
  <c r="AS248" i="1"/>
  <c r="AM248" i="1"/>
  <c r="AL248" i="1"/>
  <c r="AH248" i="1"/>
  <c r="AI248" i="1" s="1"/>
  <c r="AF248" i="1"/>
  <c r="AE248" i="1"/>
  <c r="AB248" i="1"/>
  <c r="S248" i="1"/>
  <c r="AS247" i="1"/>
  <c r="AM247" i="1"/>
  <c r="AL247" i="1"/>
  <c r="AH247" i="1"/>
  <c r="AI247" i="1" s="1"/>
  <c r="AE247" i="1"/>
  <c r="AB247" i="1"/>
  <c r="T247" i="1"/>
  <c r="AF247" i="1" s="1"/>
  <c r="AS246" i="1"/>
  <c r="AM246" i="1"/>
  <c r="AL246" i="1"/>
  <c r="AH246" i="1"/>
  <c r="AN246" i="1" s="1"/>
  <c r="AF246" i="1"/>
  <c r="AE246" i="1"/>
  <c r="AB246" i="1"/>
  <c r="S246" i="1"/>
  <c r="AS245" i="1"/>
  <c r="AM245" i="1"/>
  <c r="AL245" i="1"/>
  <c r="AI245" i="1"/>
  <c r="AH245" i="1"/>
  <c r="AN245" i="1" s="1"/>
  <c r="AE245" i="1"/>
  <c r="AB245" i="1"/>
  <c r="T245" i="1"/>
  <c r="AF245" i="1" s="1"/>
  <c r="AS244" i="1"/>
  <c r="AM244" i="1"/>
  <c r="AL244" i="1"/>
  <c r="AH244" i="1"/>
  <c r="AI244" i="1" s="1"/>
  <c r="AF244" i="1"/>
  <c r="AE244" i="1"/>
  <c r="AB244" i="1"/>
  <c r="S244" i="1"/>
  <c r="AS243" i="1"/>
  <c r="AM243" i="1"/>
  <c r="AL243" i="1"/>
  <c r="AI243" i="1"/>
  <c r="AH243" i="1"/>
  <c r="AN243" i="1" s="1"/>
  <c r="AE243" i="1"/>
  <c r="AB243" i="1"/>
  <c r="T243" i="1"/>
  <c r="AS242" i="1"/>
  <c r="AM242" i="1"/>
  <c r="AL242" i="1"/>
  <c r="AI242" i="1"/>
  <c r="AH242" i="1"/>
  <c r="AN242" i="1" s="1"/>
  <c r="AF242" i="1"/>
  <c r="AE242" i="1"/>
  <c r="AB242" i="1"/>
  <c r="S242" i="1"/>
  <c r="AS241" i="1"/>
  <c r="AM241" i="1"/>
  <c r="AL241" i="1"/>
  <c r="AH241" i="1"/>
  <c r="AN241" i="1" s="1"/>
  <c r="AE241" i="1"/>
  <c r="AB241" i="1"/>
  <c r="T241" i="1"/>
  <c r="AF241" i="1" s="1"/>
  <c r="AS240" i="1"/>
  <c r="AM240" i="1"/>
  <c r="AL240" i="1"/>
  <c r="AH240" i="1"/>
  <c r="AI240" i="1" s="1"/>
  <c r="AF240" i="1"/>
  <c r="AE240" i="1"/>
  <c r="AA240" i="1"/>
  <c r="S240" i="1"/>
  <c r="AS239" i="1"/>
  <c r="AM239" i="1"/>
  <c r="AL239" i="1"/>
  <c r="AH239" i="1"/>
  <c r="AN239" i="1" s="1"/>
  <c r="AF239" i="1"/>
  <c r="AE239" i="1"/>
  <c r="AB239" i="1"/>
  <c r="S239" i="1"/>
  <c r="AS238" i="1"/>
  <c r="AM238" i="1"/>
  <c r="AL238" i="1"/>
  <c r="AH238" i="1"/>
  <c r="AN238" i="1" s="1"/>
  <c r="AF238" i="1"/>
  <c r="AE238" i="1"/>
  <c r="AB238" i="1"/>
  <c r="S238" i="1"/>
  <c r="AS237" i="1"/>
  <c r="AM237" i="1"/>
  <c r="AL237" i="1"/>
  <c r="AH237" i="1"/>
  <c r="AE237" i="1"/>
  <c r="AB237" i="1"/>
  <c r="T237" i="1"/>
  <c r="AF237" i="1" s="1"/>
  <c r="AS236" i="1"/>
  <c r="AM236" i="1"/>
  <c r="AL236" i="1"/>
  <c r="AH236" i="1"/>
  <c r="AI236" i="1" s="1"/>
  <c r="AF236" i="1"/>
  <c r="AE236" i="1"/>
  <c r="AB236" i="1"/>
  <c r="S236" i="1"/>
  <c r="AS235" i="1"/>
  <c r="AM235" i="1"/>
  <c r="AL235" i="1"/>
  <c r="AH235" i="1"/>
  <c r="AE235" i="1"/>
  <c r="AB235" i="1"/>
  <c r="T235" i="1"/>
  <c r="AF235" i="1" s="1"/>
  <c r="AS234" i="1"/>
  <c r="AM234" i="1"/>
  <c r="AL234" i="1"/>
  <c r="AH234" i="1"/>
  <c r="AN234" i="1" s="1"/>
  <c r="AF234" i="1"/>
  <c r="AE234" i="1"/>
  <c r="AB234" i="1"/>
  <c r="S234" i="1"/>
  <c r="AS233" i="1"/>
  <c r="AM233" i="1"/>
  <c r="AL233" i="1"/>
  <c r="AH233" i="1"/>
  <c r="AN233" i="1" s="1"/>
  <c r="AE233" i="1"/>
  <c r="AB233" i="1"/>
  <c r="T233" i="1"/>
  <c r="AF233" i="1" s="1"/>
  <c r="AS232" i="1"/>
  <c r="AM232" i="1"/>
  <c r="AL232" i="1"/>
  <c r="AH232" i="1"/>
  <c r="AF232" i="1"/>
  <c r="AE232" i="1"/>
  <c r="AB232" i="1"/>
  <c r="S232" i="1"/>
  <c r="AS231" i="1"/>
  <c r="AM231" i="1"/>
  <c r="AL231" i="1"/>
  <c r="AH231" i="1"/>
  <c r="AI231" i="1" s="1"/>
  <c r="AE231" i="1"/>
  <c r="AB231" i="1"/>
  <c r="T231" i="1"/>
  <c r="AS230" i="1"/>
  <c r="AM230" i="1"/>
  <c r="AL230" i="1"/>
  <c r="AH230" i="1"/>
  <c r="AN230" i="1" s="1"/>
  <c r="AF230" i="1"/>
  <c r="AE230" i="1"/>
  <c r="AB230" i="1"/>
  <c r="S230" i="1"/>
  <c r="AS229" i="1"/>
  <c r="AM229" i="1"/>
  <c r="AL229" i="1"/>
  <c r="AH229" i="1"/>
  <c r="AE229" i="1"/>
  <c r="AB229" i="1"/>
  <c r="T229" i="1"/>
  <c r="AF229" i="1" s="1"/>
  <c r="AS228" i="1"/>
  <c r="AM228" i="1"/>
  <c r="AL228" i="1"/>
  <c r="AH228" i="1"/>
  <c r="AI228" i="1" s="1"/>
  <c r="AF228" i="1"/>
  <c r="AE228" i="1"/>
  <c r="AB228" i="1"/>
  <c r="S228" i="1"/>
  <c r="AS227" i="1"/>
  <c r="AM227" i="1"/>
  <c r="AL227" i="1"/>
  <c r="AH227" i="1"/>
  <c r="AE227" i="1"/>
  <c r="AB227" i="1"/>
  <c r="T227" i="1"/>
  <c r="AF227" i="1" s="1"/>
  <c r="AS226" i="1"/>
  <c r="AM226" i="1"/>
  <c r="AL226" i="1"/>
  <c r="AH226" i="1"/>
  <c r="AN226" i="1" s="1"/>
  <c r="AF226" i="1"/>
  <c r="AE226" i="1"/>
  <c r="AB226" i="1"/>
  <c r="S226" i="1"/>
  <c r="AS225" i="1"/>
  <c r="AM225" i="1"/>
  <c r="AL225" i="1"/>
  <c r="AH225" i="1"/>
  <c r="AN225" i="1" s="1"/>
  <c r="AE225" i="1"/>
  <c r="AB225" i="1"/>
  <c r="T225" i="1"/>
  <c r="AF225" i="1" s="1"/>
  <c r="AS224" i="1"/>
  <c r="AM224" i="1"/>
  <c r="AL224" i="1"/>
  <c r="AH224" i="1"/>
  <c r="AF224" i="1"/>
  <c r="AE224" i="1"/>
  <c r="AB224" i="1"/>
  <c r="S224" i="1"/>
  <c r="AS223" i="1"/>
  <c r="AM223" i="1"/>
  <c r="AL223" i="1"/>
  <c r="AH223" i="1"/>
  <c r="AE223" i="1"/>
  <c r="AB223" i="1"/>
  <c r="T223" i="1"/>
  <c r="AR222" i="1"/>
  <c r="AS222" i="1" s="1"/>
  <c r="AM222" i="1"/>
  <c r="AL222" i="1"/>
  <c r="AH222" i="1"/>
  <c r="AE222" i="1"/>
  <c r="AB222" i="1"/>
  <c r="T222" i="1"/>
  <c r="AR221" i="1"/>
  <c r="AS221" i="1" s="1"/>
  <c r="AM221" i="1"/>
  <c r="AL221" i="1"/>
  <c r="AH221" i="1"/>
  <c r="AI221" i="1" s="1"/>
  <c r="AE221" i="1"/>
  <c r="AB221" i="1"/>
  <c r="T221" i="1"/>
  <c r="AS220" i="1"/>
  <c r="AN220" i="1"/>
  <c r="AM220" i="1"/>
  <c r="AL220" i="1"/>
  <c r="AI220" i="1"/>
  <c r="AB220" i="1"/>
  <c r="U220" i="1"/>
  <c r="AE220" i="1" s="1"/>
  <c r="T220" i="1"/>
  <c r="AR219" i="1"/>
  <c r="AS219" i="1" s="1"/>
  <c r="AM219" i="1"/>
  <c r="AL219" i="1"/>
  <c r="AH219" i="1"/>
  <c r="AE219" i="1"/>
  <c r="AB219" i="1"/>
  <c r="T219" i="1"/>
  <c r="AR218" i="1"/>
  <c r="AS218" i="1" s="1"/>
  <c r="AM218" i="1"/>
  <c r="AL218" i="1"/>
  <c r="AH218" i="1"/>
  <c r="AI218" i="1" s="1"/>
  <c r="AE218" i="1"/>
  <c r="AB218" i="1"/>
  <c r="T218" i="1"/>
  <c r="AS217" i="1"/>
  <c r="AM217" i="1"/>
  <c r="AL217" i="1"/>
  <c r="AH217" i="1"/>
  <c r="AN217" i="1" s="1"/>
  <c r="AE217" i="1"/>
  <c r="AB217" i="1"/>
  <c r="T217" i="1"/>
  <c r="AF217" i="1" s="1"/>
  <c r="AS216" i="1"/>
  <c r="AM216" i="1"/>
  <c r="AL216" i="1"/>
  <c r="AH216" i="1"/>
  <c r="AF216" i="1"/>
  <c r="AE216" i="1"/>
  <c r="AB216" i="1"/>
  <c r="S216" i="1"/>
  <c r="AS215" i="1"/>
  <c r="AM215" i="1"/>
  <c r="AL215" i="1"/>
  <c r="AH215" i="1"/>
  <c r="AF215" i="1"/>
  <c r="AE215" i="1"/>
  <c r="AB215" i="1"/>
  <c r="S215" i="1"/>
  <c r="AS214" i="1"/>
  <c r="AM214" i="1"/>
  <c r="AL214" i="1"/>
  <c r="AI214" i="1"/>
  <c r="AH214" i="1"/>
  <c r="AN214" i="1" s="1"/>
  <c r="AE214" i="1"/>
  <c r="AB214" i="1"/>
  <c r="T214" i="1"/>
  <c r="AF214" i="1" s="1"/>
  <c r="AS213" i="1"/>
  <c r="AM213" i="1"/>
  <c r="AL213" i="1"/>
  <c r="AH213" i="1"/>
  <c r="AF213" i="1"/>
  <c r="AE213" i="1"/>
  <c r="AB213" i="1"/>
  <c r="S213" i="1"/>
  <c r="AS212" i="1"/>
  <c r="AM212" i="1"/>
  <c r="AL212" i="1"/>
  <c r="AH212" i="1"/>
  <c r="AN212" i="1" s="1"/>
  <c r="AE212" i="1"/>
  <c r="AB212" i="1"/>
  <c r="T212" i="1"/>
  <c r="AF212" i="1" s="1"/>
  <c r="AS211" i="1"/>
  <c r="AR211" i="1"/>
  <c r="AM211" i="1"/>
  <c r="AL211" i="1"/>
  <c r="AH211" i="1"/>
  <c r="AN211" i="1" s="1"/>
  <c r="AF211" i="1"/>
  <c r="AE211" i="1"/>
  <c r="AB211" i="1"/>
  <c r="S211" i="1"/>
  <c r="AR210" i="1"/>
  <c r="AS210" i="1" s="1"/>
  <c r="AM210" i="1"/>
  <c r="AL210" i="1"/>
  <c r="AI210" i="1"/>
  <c r="AH210" i="1"/>
  <c r="AN210" i="1" s="1"/>
  <c r="AF210" i="1"/>
  <c r="AE210" i="1"/>
  <c r="AB210" i="1"/>
  <c r="S210" i="1"/>
  <c r="AT210" i="1" s="1"/>
  <c r="AR209" i="1"/>
  <c r="AS209" i="1" s="1"/>
  <c r="AM209" i="1"/>
  <c r="AL209" i="1"/>
  <c r="AH209" i="1"/>
  <c r="AF209" i="1"/>
  <c r="AE209" i="1"/>
  <c r="AB209" i="1"/>
  <c r="S209" i="1"/>
  <c r="AR208" i="1"/>
  <c r="AS208" i="1" s="1"/>
  <c r="AM208" i="1"/>
  <c r="AL208" i="1"/>
  <c r="AH208" i="1"/>
  <c r="AI208" i="1" s="1"/>
  <c r="AF208" i="1"/>
  <c r="AE208" i="1"/>
  <c r="AB208" i="1"/>
  <c r="S208" i="1"/>
  <c r="AR207" i="1"/>
  <c r="AS207" i="1" s="1"/>
  <c r="AM207" i="1"/>
  <c r="AL207" i="1"/>
  <c r="AH207" i="1"/>
  <c r="AN207" i="1" s="1"/>
  <c r="AF207" i="1"/>
  <c r="AE207" i="1"/>
  <c r="AB207" i="1"/>
  <c r="S207" i="1"/>
  <c r="AR206" i="1"/>
  <c r="AS206" i="1" s="1"/>
  <c r="AM206" i="1"/>
  <c r="AL206" i="1"/>
  <c r="AH206" i="1"/>
  <c r="AF206" i="1"/>
  <c r="AE206" i="1"/>
  <c r="AB206" i="1"/>
  <c r="S206" i="1"/>
  <c r="AS205" i="1"/>
  <c r="AM205" i="1"/>
  <c r="AL205" i="1"/>
  <c r="AH205" i="1"/>
  <c r="AI205" i="1" s="1"/>
  <c r="AF205" i="1"/>
  <c r="AE205" i="1"/>
  <c r="AA205" i="1"/>
  <c r="S205" i="1"/>
  <c r="AR204" i="1"/>
  <c r="AS204" i="1" s="1"/>
  <c r="AM204" i="1"/>
  <c r="AL204" i="1"/>
  <c r="AH204" i="1"/>
  <c r="AI204" i="1" s="1"/>
  <c r="AF204" i="1"/>
  <c r="AE204" i="1"/>
  <c r="AA204" i="1"/>
  <c r="AB204" i="1" s="1"/>
  <c r="S204" i="1"/>
  <c r="AS203" i="1"/>
  <c r="AN203" i="1"/>
  <c r="AM203" i="1"/>
  <c r="AL203" i="1"/>
  <c r="AI203" i="1"/>
  <c r="AE203" i="1"/>
  <c r="AB203" i="1"/>
  <c r="T203" i="1"/>
  <c r="AF203" i="1" s="1"/>
  <c r="AS202" i="1"/>
  <c r="AN202" i="1"/>
  <c r="AM202" i="1"/>
  <c r="AL202" i="1"/>
  <c r="AI202" i="1"/>
  <c r="AE202" i="1"/>
  <c r="AB202" i="1"/>
  <c r="T202" i="1"/>
  <c r="AF202" i="1" s="1"/>
  <c r="AR201" i="1"/>
  <c r="AS201" i="1" s="1"/>
  <c r="AM201" i="1"/>
  <c r="AL201" i="1"/>
  <c r="AH201" i="1"/>
  <c r="AN201" i="1" s="1"/>
  <c r="AE201" i="1"/>
  <c r="AB201" i="1"/>
  <c r="T201" i="1"/>
  <c r="AF201" i="1" s="1"/>
  <c r="AS200" i="1"/>
  <c r="AN200" i="1"/>
  <c r="AM200" i="1"/>
  <c r="AL200" i="1"/>
  <c r="AI200" i="1"/>
  <c r="AF200" i="1"/>
  <c r="AE200" i="1"/>
  <c r="AB200" i="1"/>
  <c r="S200" i="1"/>
  <c r="AS199" i="1"/>
  <c r="AM199" i="1"/>
  <c r="AL199" i="1"/>
  <c r="AH199" i="1"/>
  <c r="AN199" i="1" s="1"/>
  <c r="AF199" i="1"/>
  <c r="AE199" i="1"/>
  <c r="AB199" i="1"/>
  <c r="S199" i="1"/>
  <c r="AS198" i="1"/>
  <c r="AM198" i="1"/>
  <c r="AL198" i="1"/>
  <c r="AH198" i="1"/>
  <c r="AE198" i="1"/>
  <c r="AB198" i="1"/>
  <c r="T198" i="1"/>
  <c r="AF198" i="1" s="1"/>
  <c r="AR197" i="1"/>
  <c r="AS197" i="1" s="1"/>
  <c r="AM197" i="1"/>
  <c r="AL197" i="1"/>
  <c r="AH197" i="1"/>
  <c r="AN197" i="1" s="1"/>
  <c r="AF197" i="1"/>
  <c r="AE197" i="1"/>
  <c r="AB197" i="1"/>
  <c r="S197" i="1"/>
  <c r="AT197" i="1" s="1"/>
  <c r="AR196" i="1"/>
  <c r="AS196" i="1" s="1"/>
  <c r="AM196" i="1"/>
  <c r="AL196" i="1"/>
  <c r="AH196" i="1"/>
  <c r="AI196" i="1" s="1"/>
  <c r="AF196" i="1"/>
  <c r="AE196" i="1"/>
  <c r="AB196" i="1"/>
  <c r="S196" i="1"/>
  <c r="AR195" i="1"/>
  <c r="AS195" i="1" s="1"/>
  <c r="AL195" i="1"/>
  <c r="AH195" i="1"/>
  <c r="AG195" i="1"/>
  <c r="AE195" i="1"/>
  <c r="AA195" i="1"/>
  <c r="S195" i="1"/>
  <c r="AR194" i="1"/>
  <c r="AS194" i="1" s="1"/>
  <c r="AM194" i="1"/>
  <c r="AL194" i="1"/>
  <c r="AH194" i="1"/>
  <c r="AF194" i="1"/>
  <c r="AE194" i="1"/>
  <c r="AB194" i="1"/>
  <c r="S194" i="1"/>
  <c r="AS193" i="1"/>
  <c r="AM193" i="1"/>
  <c r="AK193" i="1"/>
  <c r="AK527" i="1" s="1"/>
  <c r="AH193" i="1"/>
  <c r="AF193" i="1"/>
  <c r="AE193" i="1"/>
  <c r="AB193" i="1"/>
  <c r="S193" i="1"/>
  <c r="AS192" i="1"/>
  <c r="AM192" i="1"/>
  <c r="AL192" i="1"/>
  <c r="AH192" i="1"/>
  <c r="AI192" i="1" s="1"/>
  <c r="AF192" i="1"/>
  <c r="AE192" i="1"/>
  <c r="AA192" i="1"/>
  <c r="S192" i="1"/>
  <c r="AR191" i="1"/>
  <c r="AS191" i="1" s="1"/>
  <c r="AM191" i="1"/>
  <c r="AL191" i="1"/>
  <c r="AH191" i="1"/>
  <c r="AI191" i="1" s="1"/>
  <c r="AF191" i="1"/>
  <c r="AE191" i="1"/>
  <c r="AB191" i="1"/>
  <c r="S191" i="1"/>
  <c r="AR190" i="1"/>
  <c r="AS190" i="1" s="1"/>
  <c r="AL190" i="1"/>
  <c r="AH190" i="1"/>
  <c r="AN190" i="1" s="1"/>
  <c r="AG190" i="1"/>
  <c r="AM190" i="1" s="1"/>
  <c r="AE190" i="1"/>
  <c r="AB190" i="1"/>
  <c r="T190" i="1"/>
  <c r="AR189" i="1"/>
  <c r="AS189" i="1" s="1"/>
  <c r="AM189" i="1"/>
  <c r="AL189" i="1"/>
  <c r="AH189" i="1"/>
  <c r="AE189" i="1"/>
  <c r="AB189" i="1"/>
  <c r="T189" i="1"/>
  <c r="AR188" i="1"/>
  <c r="AS188" i="1" s="1"/>
  <c r="AM188" i="1"/>
  <c r="AL188" i="1"/>
  <c r="AH188" i="1"/>
  <c r="AI188" i="1" s="1"/>
  <c r="AF188" i="1"/>
  <c r="AE188" i="1"/>
  <c r="AB188" i="1"/>
  <c r="S188" i="1"/>
  <c r="AS187" i="1"/>
  <c r="AL187" i="1"/>
  <c r="AH187" i="1"/>
  <c r="AI187" i="1" s="1"/>
  <c r="AA187" i="1"/>
  <c r="Z187" i="1"/>
  <c r="AM187" i="1" s="1"/>
  <c r="U187" i="1"/>
  <c r="T187" i="1"/>
  <c r="AF187" i="1" s="1"/>
  <c r="AS186" i="1"/>
  <c r="AM186" i="1"/>
  <c r="AL186" i="1"/>
  <c r="AH186" i="1"/>
  <c r="AI186" i="1" s="1"/>
  <c r="AF186" i="1"/>
  <c r="AE186" i="1"/>
  <c r="AB186" i="1"/>
  <c r="S186" i="1"/>
  <c r="AR185" i="1"/>
  <c r="AS185" i="1" s="1"/>
  <c r="AM185" i="1"/>
  <c r="AL185" i="1"/>
  <c r="AH185" i="1"/>
  <c r="AN185" i="1" s="1"/>
  <c r="AF185" i="1"/>
  <c r="AE185" i="1"/>
  <c r="AB185" i="1"/>
  <c r="S185" i="1"/>
  <c r="AT185" i="1" s="1"/>
  <c r="AS184" i="1"/>
  <c r="AN184" i="1"/>
  <c r="AM184" i="1"/>
  <c r="AL184" i="1"/>
  <c r="AI184" i="1"/>
  <c r="AF184" i="1"/>
  <c r="AE184" i="1"/>
  <c r="AB184" i="1"/>
  <c r="S184" i="1"/>
  <c r="AS183" i="1"/>
  <c r="AM183" i="1"/>
  <c r="AL183" i="1"/>
  <c r="AH183" i="1"/>
  <c r="AI183" i="1" s="1"/>
  <c r="AF183" i="1"/>
  <c r="AE183" i="1"/>
  <c r="AA183" i="1"/>
  <c r="AB183" i="1" s="1"/>
  <c r="S183" i="1"/>
  <c r="AS182" i="1"/>
  <c r="AL182" i="1"/>
  <c r="AH182" i="1"/>
  <c r="AI182" i="1" s="1"/>
  <c r="AA182" i="1"/>
  <c r="Z182" i="1"/>
  <c r="AM182" i="1" s="1"/>
  <c r="U182" i="1"/>
  <c r="T182" i="1"/>
  <c r="S182" i="1" s="1"/>
  <c r="AS181" i="1"/>
  <c r="AR181" i="1"/>
  <c r="AL181" i="1"/>
  <c r="AH181" i="1"/>
  <c r="AG181" i="1"/>
  <c r="AM181" i="1" s="1"/>
  <c r="AE181" i="1"/>
  <c r="AA181" i="1"/>
  <c r="AB181" i="1" s="1"/>
  <c r="T181" i="1"/>
  <c r="S181" i="1" s="1"/>
  <c r="AR180" i="1"/>
  <c r="AS180" i="1" s="1"/>
  <c r="AM180" i="1"/>
  <c r="AL180" i="1"/>
  <c r="AH180" i="1"/>
  <c r="AN180" i="1" s="1"/>
  <c r="AF180" i="1"/>
  <c r="AE180" i="1"/>
  <c r="AB180" i="1"/>
  <c r="S180" i="1"/>
  <c r="AR179" i="1"/>
  <c r="AS179" i="1" s="1"/>
  <c r="AM179" i="1"/>
  <c r="AL179" i="1"/>
  <c r="AH179" i="1"/>
  <c r="AF179" i="1"/>
  <c r="AE179" i="1"/>
  <c r="AB179" i="1"/>
  <c r="S179" i="1"/>
  <c r="AS178" i="1"/>
  <c r="AM178" i="1"/>
  <c r="AL178" i="1"/>
  <c r="AI178" i="1"/>
  <c r="AF178" i="1"/>
  <c r="AE178" i="1"/>
  <c r="AA178" i="1"/>
  <c r="AN178" i="1" s="1"/>
  <c r="S178" i="1"/>
  <c r="AR177" i="1"/>
  <c r="AS177" i="1" s="1"/>
  <c r="AM177" i="1"/>
  <c r="AL177" i="1"/>
  <c r="AH177" i="1"/>
  <c r="AN177" i="1" s="1"/>
  <c r="AF177" i="1"/>
  <c r="AE177" i="1"/>
  <c r="AB177" i="1"/>
  <c r="S177" i="1"/>
  <c r="AR176" i="1"/>
  <c r="AS176" i="1" s="1"/>
  <c r="AM176" i="1"/>
  <c r="AL176" i="1"/>
  <c r="AH176" i="1"/>
  <c r="AI176" i="1" s="1"/>
  <c r="AF176" i="1"/>
  <c r="AE176" i="1"/>
  <c r="AB176" i="1"/>
  <c r="S176" i="1"/>
  <c r="AS175" i="1"/>
  <c r="AR175" i="1"/>
  <c r="AM175" i="1"/>
  <c r="AL175" i="1"/>
  <c r="AH175" i="1"/>
  <c r="AI175" i="1" s="1"/>
  <c r="AF175" i="1"/>
  <c r="AE175" i="1"/>
  <c r="AB175" i="1"/>
  <c r="S175" i="1"/>
  <c r="AS174" i="1"/>
  <c r="AM174" i="1"/>
  <c r="AL174" i="1"/>
  <c r="AH174" i="1"/>
  <c r="AF174" i="1"/>
  <c r="AE174" i="1"/>
  <c r="AB174" i="1"/>
  <c r="S174" i="1"/>
  <c r="AR173" i="1"/>
  <c r="AS173" i="1" s="1"/>
  <c r="AM173" i="1"/>
  <c r="AL173" i="1"/>
  <c r="AH173" i="1"/>
  <c r="AI173" i="1" s="1"/>
  <c r="AF173" i="1"/>
  <c r="AE173" i="1"/>
  <c r="AB173" i="1"/>
  <c r="S173" i="1"/>
  <c r="AR172" i="1"/>
  <c r="AS172" i="1" s="1"/>
  <c r="AM172" i="1"/>
  <c r="AL172" i="1"/>
  <c r="AH172" i="1"/>
  <c r="AI172" i="1" s="1"/>
  <c r="AF172" i="1"/>
  <c r="AE172" i="1"/>
  <c r="AB172" i="1"/>
  <c r="S172" i="1"/>
  <c r="AR171" i="1"/>
  <c r="AS171" i="1" s="1"/>
  <c r="AM171" i="1"/>
  <c r="AL171" i="1"/>
  <c r="AH171" i="1"/>
  <c r="AN171" i="1" s="1"/>
  <c r="AF171" i="1"/>
  <c r="AE171" i="1"/>
  <c r="AB171" i="1"/>
  <c r="S171" i="1"/>
  <c r="AT171" i="1" s="1"/>
  <c r="AR170" i="1"/>
  <c r="AS170" i="1" s="1"/>
  <c r="AM170" i="1"/>
  <c r="AL170" i="1"/>
  <c r="AH170" i="1"/>
  <c r="AF170" i="1"/>
  <c r="AE170" i="1"/>
  <c r="AB170" i="1"/>
  <c r="S170" i="1"/>
  <c r="AS169" i="1"/>
  <c r="AN169" i="1"/>
  <c r="AM169" i="1"/>
  <c r="AL169" i="1"/>
  <c r="AI169" i="1"/>
  <c r="AF169" i="1"/>
  <c r="AE169" i="1"/>
  <c r="AB169" i="1"/>
  <c r="S169" i="1"/>
  <c r="AS168" i="1"/>
  <c r="AN168" i="1"/>
  <c r="AM168" i="1"/>
  <c r="AL168" i="1"/>
  <c r="AI168" i="1"/>
  <c r="AF168" i="1"/>
  <c r="AE168" i="1"/>
  <c r="AB168" i="1"/>
  <c r="S168" i="1"/>
  <c r="AR167" i="1"/>
  <c r="AS167" i="1" s="1"/>
  <c r="AM167" i="1"/>
  <c r="AL167" i="1"/>
  <c r="AH167" i="1"/>
  <c r="AN167" i="1" s="1"/>
  <c r="AF167" i="1"/>
  <c r="AE167" i="1"/>
  <c r="AB167" i="1"/>
  <c r="S167" i="1"/>
  <c r="AR166" i="1"/>
  <c r="AS166" i="1" s="1"/>
  <c r="AM166" i="1"/>
  <c r="AL166" i="1"/>
  <c r="AH166" i="1"/>
  <c r="AN166" i="1" s="1"/>
  <c r="AF166" i="1"/>
  <c r="AE166" i="1"/>
  <c r="AB166" i="1"/>
  <c r="S166" i="1"/>
  <c r="AR165" i="1"/>
  <c r="AS165" i="1" s="1"/>
  <c r="AM165" i="1"/>
  <c r="AL165" i="1"/>
  <c r="AH165" i="1"/>
  <c r="AF165" i="1"/>
  <c r="AE165" i="1"/>
  <c r="AB165" i="1"/>
  <c r="S165" i="1"/>
  <c r="AR164" i="1"/>
  <c r="AS164" i="1" s="1"/>
  <c r="AL164" i="1"/>
  <c r="AH164" i="1"/>
  <c r="AN164" i="1" s="1"/>
  <c r="AG164" i="1"/>
  <c r="AM164" i="1" s="1"/>
  <c r="AE164" i="1"/>
  <c r="AB164" i="1"/>
  <c r="T164" i="1"/>
  <c r="AR163" i="1"/>
  <c r="AS163" i="1" s="1"/>
  <c r="AM163" i="1"/>
  <c r="AL163" i="1"/>
  <c r="AH163" i="1"/>
  <c r="AI163" i="1" s="1"/>
  <c r="AF163" i="1"/>
  <c r="AE163" i="1"/>
  <c r="AB163" i="1"/>
  <c r="S163" i="1"/>
  <c r="AS162" i="1"/>
  <c r="AM162" i="1"/>
  <c r="AL162" i="1"/>
  <c r="AH162" i="1"/>
  <c r="AN162" i="1" s="1"/>
  <c r="AF162" i="1"/>
  <c r="AE162" i="1"/>
  <c r="AB162" i="1"/>
  <c r="S162" i="1"/>
  <c r="AS161" i="1"/>
  <c r="AM161" i="1"/>
  <c r="AL161" i="1"/>
  <c r="AH161" i="1"/>
  <c r="AI161" i="1" s="1"/>
  <c r="AF161" i="1"/>
  <c r="AE161" i="1"/>
  <c r="AB161" i="1"/>
  <c r="S161" i="1"/>
  <c r="AS160" i="1"/>
  <c r="AM160" i="1"/>
  <c r="AL160" i="1"/>
  <c r="AH160" i="1"/>
  <c r="AN160" i="1" s="1"/>
  <c r="AF160" i="1"/>
  <c r="AE160" i="1"/>
  <c r="AB160" i="1"/>
  <c r="S160" i="1"/>
  <c r="AR159" i="1"/>
  <c r="AS159" i="1" s="1"/>
  <c r="AM159" i="1"/>
  <c r="AL159" i="1"/>
  <c r="AH159" i="1"/>
  <c r="AN159" i="1" s="1"/>
  <c r="AF159" i="1"/>
  <c r="AE159" i="1"/>
  <c r="AB159" i="1"/>
  <c r="S159" i="1"/>
  <c r="AT159" i="1" s="1"/>
  <c r="AS158" i="1"/>
  <c r="AN158" i="1"/>
  <c r="AM158" i="1"/>
  <c r="AL158" i="1"/>
  <c r="AI158" i="1"/>
  <c r="AE158" i="1"/>
  <c r="AB158" i="1"/>
  <c r="T158" i="1"/>
  <c r="AS157" i="1"/>
  <c r="AN157" i="1"/>
  <c r="AM157" i="1"/>
  <c r="AL157" i="1"/>
  <c r="AI157" i="1"/>
  <c r="AE157" i="1"/>
  <c r="AB157" i="1"/>
  <c r="T157" i="1"/>
  <c r="AS156" i="1"/>
  <c r="AM156" i="1"/>
  <c r="AL156" i="1"/>
  <c r="AH156" i="1"/>
  <c r="AI156" i="1" s="1"/>
  <c r="AF156" i="1"/>
  <c r="AE156" i="1"/>
  <c r="AB156" i="1"/>
  <c r="S156" i="1"/>
  <c r="AS155" i="1"/>
  <c r="AM155" i="1"/>
  <c r="AL155" i="1"/>
  <c r="AH155" i="1"/>
  <c r="AF155" i="1"/>
  <c r="AE155" i="1"/>
  <c r="AB155" i="1"/>
  <c r="S155" i="1"/>
  <c r="AS154" i="1"/>
  <c r="AN154" i="1"/>
  <c r="AM154" i="1"/>
  <c r="AL154" i="1"/>
  <c r="AI154" i="1"/>
  <c r="AF154" i="1"/>
  <c r="AE154" i="1"/>
  <c r="AB154" i="1"/>
  <c r="S154" i="1"/>
  <c r="AR153" i="1"/>
  <c r="AS153" i="1" s="1"/>
  <c r="AM153" i="1"/>
  <c r="AL153" i="1"/>
  <c r="AH153" i="1"/>
  <c r="AN153" i="1" s="1"/>
  <c r="AF153" i="1"/>
  <c r="AE153" i="1"/>
  <c r="AB153" i="1"/>
  <c r="S153" i="1"/>
  <c r="AS152" i="1"/>
  <c r="AM152" i="1"/>
  <c r="AL152" i="1"/>
  <c r="AH152" i="1"/>
  <c r="AI152" i="1" s="1"/>
  <c r="AF152" i="1"/>
  <c r="AE152" i="1"/>
  <c r="AB152" i="1"/>
  <c r="S152" i="1"/>
  <c r="AR151" i="1"/>
  <c r="AS151" i="1" s="1"/>
  <c r="AM151" i="1"/>
  <c r="AL151" i="1"/>
  <c r="AH151" i="1"/>
  <c r="AN151" i="1" s="1"/>
  <c r="AF151" i="1"/>
  <c r="AE151" i="1"/>
  <c r="AB151" i="1"/>
  <c r="S151" i="1"/>
  <c r="AR150" i="1"/>
  <c r="AS150" i="1" s="1"/>
  <c r="AM150" i="1"/>
  <c r="AL150" i="1"/>
  <c r="AH150" i="1"/>
  <c r="AI150" i="1" s="1"/>
  <c r="AE150" i="1"/>
  <c r="AB150" i="1"/>
  <c r="T150" i="1"/>
  <c r="AR149" i="1"/>
  <c r="AS149" i="1" s="1"/>
  <c r="AM149" i="1"/>
  <c r="AL149" i="1"/>
  <c r="AH149" i="1"/>
  <c r="AI149" i="1" s="1"/>
  <c r="AF149" i="1"/>
  <c r="AE149" i="1"/>
  <c r="AB149" i="1"/>
  <c r="T149" i="1"/>
  <c r="S149" i="1"/>
  <c r="AR148" i="1"/>
  <c r="AS148" i="1" s="1"/>
  <c r="AM148" i="1"/>
  <c r="AL148" i="1"/>
  <c r="AH148" i="1"/>
  <c r="AI148" i="1" s="1"/>
  <c r="AF148" i="1"/>
  <c r="AE148" i="1"/>
  <c r="AB148" i="1"/>
  <c r="S148" i="1"/>
  <c r="AR147" i="1"/>
  <c r="AS147" i="1" s="1"/>
  <c r="AM147" i="1"/>
  <c r="AL147" i="1"/>
  <c r="AH147" i="1"/>
  <c r="AN147" i="1" s="1"/>
  <c r="AE147" i="1"/>
  <c r="AB147" i="1"/>
  <c r="T147" i="1"/>
  <c r="AR146" i="1"/>
  <c r="AS146" i="1" s="1"/>
  <c r="AM146" i="1"/>
  <c r="AL146" i="1"/>
  <c r="AH146" i="1"/>
  <c r="AN146" i="1" s="1"/>
  <c r="AE146" i="1"/>
  <c r="AB146" i="1"/>
  <c r="T146" i="1"/>
  <c r="AF146" i="1" s="1"/>
  <c r="AR145" i="1"/>
  <c r="AS145" i="1" s="1"/>
  <c r="AM145" i="1"/>
  <c r="AL145" i="1"/>
  <c r="AH145" i="1"/>
  <c r="AN145" i="1" s="1"/>
  <c r="AF145" i="1"/>
  <c r="AE145" i="1"/>
  <c r="AB145" i="1"/>
  <c r="S145" i="1"/>
  <c r="AT145" i="1" s="1"/>
  <c r="AR144" i="1"/>
  <c r="AS144" i="1" s="1"/>
  <c r="AM144" i="1"/>
  <c r="AL144" i="1"/>
  <c r="AH144" i="1"/>
  <c r="AF144" i="1"/>
  <c r="AE144" i="1"/>
  <c r="AB144" i="1"/>
  <c r="S144" i="1"/>
  <c r="AR143" i="1"/>
  <c r="AS143" i="1" s="1"/>
  <c r="AL143" i="1"/>
  <c r="AH143" i="1"/>
  <c r="AN143" i="1" s="1"/>
  <c r="AG143" i="1"/>
  <c r="AM143" i="1" s="1"/>
  <c r="AE143" i="1"/>
  <c r="AB143" i="1"/>
  <c r="T143" i="1"/>
  <c r="AR142" i="1"/>
  <c r="AS142" i="1" s="1"/>
  <c r="AM142" i="1"/>
  <c r="AL142" i="1"/>
  <c r="AH142" i="1"/>
  <c r="AI142" i="1" s="1"/>
  <c r="AF142" i="1"/>
  <c r="AE142" i="1"/>
  <c r="AB142" i="1"/>
  <c r="S142" i="1"/>
  <c r="AS141" i="1"/>
  <c r="AL141" i="1"/>
  <c r="AH141" i="1"/>
  <c r="AG141" i="1"/>
  <c r="AM141" i="1" s="1"/>
  <c r="AE141" i="1"/>
  <c r="AA141" i="1"/>
  <c r="AN141" i="1" s="1"/>
  <c r="U141" i="1"/>
  <c r="T141" i="1"/>
  <c r="AR140" i="1"/>
  <c r="AS140" i="1" s="1"/>
  <c r="AM140" i="1"/>
  <c r="AL140" i="1"/>
  <c r="AH140" i="1"/>
  <c r="AI140" i="1" s="1"/>
  <c r="AF140" i="1"/>
  <c r="AE140" i="1"/>
  <c r="AB140" i="1"/>
  <c r="S140" i="1"/>
  <c r="AR139" i="1"/>
  <c r="AS139" i="1" s="1"/>
  <c r="AM139" i="1"/>
  <c r="AL139" i="1"/>
  <c r="AH139" i="1"/>
  <c r="AI139" i="1" s="1"/>
  <c r="AF139" i="1"/>
  <c r="AE139" i="1"/>
  <c r="AB139" i="1"/>
  <c r="S139" i="1"/>
  <c r="AR138" i="1"/>
  <c r="AS138" i="1" s="1"/>
  <c r="AM138" i="1"/>
  <c r="AL138" i="1"/>
  <c r="AH138" i="1"/>
  <c r="AN138" i="1" s="1"/>
  <c r="AF138" i="1"/>
  <c r="AE138" i="1"/>
  <c r="AB138" i="1"/>
  <c r="S138" i="1"/>
  <c r="AS137" i="1"/>
  <c r="AM137" i="1"/>
  <c r="AL137" i="1"/>
  <c r="AH137" i="1"/>
  <c r="AI137" i="1" s="1"/>
  <c r="AF137" i="1"/>
  <c r="AE137" i="1"/>
  <c r="AB137" i="1"/>
  <c r="S137" i="1"/>
  <c r="AS136" i="1"/>
  <c r="AR136" i="1"/>
  <c r="AM136" i="1"/>
  <c r="AL136" i="1"/>
  <c r="AH136" i="1"/>
  <c r="AI136" i="1" s="1"/>
  <c r="AF136" i="1"/>
  <c r="AE136" i="1"/>
  <c r="AB136" i="1"/>
  <c r="S136" i="1"/>
  <c r="AS135" i="1"/>
  <c r="AM135" i="1"/>
  <c r="AL135" i="1"/>
  <c r="AI135" i="1"/>
  <c r="AH135" i="1"/>
  <c r="AN135" i="1" s="1"/>
  <c r="AF135" i="1"/>
  <c r="AE135" i="1"/>
  <c r="AB135" i="1"/>
  <c r="S135" i="1"/>
  <c r="AR134" i="1"/>
  <c r="AS134" i="1" s="1"/>
  <c r="AM134" i="1"/>
  <c r="AL134" i="1"/>
  <c r="AH134" i="1"/>
  <c r="AI134" i="1" s="1"/>
  <c r="AF134" i="1"/>
  <c r="AE134" i="1"/>
  <c r="AB134" i="1"/>
  <c r="S134" i="1"/>
  <c r="AS133" i="1"/>
  <c r="AN133" i="1"/>
  <c r="AM133" i="1"/>
  <c r="AL133" i="1"/>
  <c r="AI133" i="1"/>
  <c r="AF133" i="1"/>
  <c r="AE133" i="1"/>
  <c r="AB133" i="1"/>
  <c r="S133" i="1"/>
  <c r="AS132" i="1"/>
  <c r="AM132" i="1"/>
  <c r="AL132" i="1"/>
  <c r="AH132" i="1"/>
  <c r="AI132" i="1" s="1"/>
  <c r="AF132" i="1"/>
  <c r="AE132" i="1"/>
  <c r="AB132" i="1"/>
  <c r="S132" i="1"/>
  <c r="AR131" i="1"/>
  <c r="AS131" i="1" s="1"/>
  <c r="AM131" i="1"/>
  <c r="AL131" i="1"/>
  <c r="AH131" i="1"/>
  <c r="AN131" i="1" s="1"/>
  <c r="AE131" i="1"/>
  <c r="AB131" i="1"/>
  <c r="T131" i="1"/>
  <c r="AR130" i="1"/>
  <c r="AS130" i="1" s="1"/>
  <c r="AM130" i="1"/>
  <c r="AL130" i="1"/>
  <c r="AH130" i="1"/>
  <c r="AN130" i="1" s="1"/>
  <c r="AF130" i="1"/>
  <c r="AE130" i="1"/>
  <c r="AB130" i="1"/>
  <c r="S130" i="1"/>
  <c r="AT130" i="1" s="1"/>
  <c r="AR129" i="1"/>
  <c r="AS129" i="1" s="1"/>
  <c r="AM129" i="1"/>
  <c r="AL129" i="1"/>
  <c r="AH129" i="1"/>
  <c r="AN129" i="1" s="1"/>
  <c r="AF129" i="1"/>
  <c r="AE129" i="1"/>
  <c r="AB129" i="1"/>
  <c r="S129" i="1"/>
  <c r="AT129" i="1" s="1"/>
  <c r="AR128" i="1"/>
  <c r="AS128" i="1" s="1"/>
  <c r="AM128" i="1"/>
  <c r="AL128" i="1"/>
  <c r="AH128" i="1"/>
  <c r="AI128" i="1" s="1"/>
  <c r="AF128" i="1"/>
  <c r="AE128" i="1"/>
  <c r="AB128" i="1"/>
  <c r="S128" i="1"/>
  <c r="AS127" i="1"/>
  <c r="AM127" i="1"/>
  <c r="AL127" i="1"/>
  <c r="AH127" i="1"/>
  <c r="AN127" i="1" s="1"/>
  <c r="AF127" i="1"/>
  <c r="AE127" i="1"/>
  <c r="AB127" i="1"/>
  <c r="S127" i="1"/>
  <c r="AS126" i="1"/>
  <c r="AN126" i="1"/>
  <c r="AM126" i="1"/>
  <c r="AL126" i="1"/>
  <c r="AI126" i="1"/>
  <c r="AF126" i="1"/>
  <c r="AE126" i="1"/>
  <c r="AB126" i="1"/>
  <c r="S126" i="1"/>
  <c r="AR125" i="1"/>
  <c r="AS125" i="1" s="1"/>
  <c r="AM125" i="1"/>
  <c r="AL125" i="1"/>
  <c r="AH125" i="1"/>
  <c r="AN125" i="1" s="1"/>
  <c r="AF125" i="1"/>
  <c r="AE125" i="1"/>
  <c r="AB125" i="1"/>
  <c r="S125" i="1"/>
  <c r="AR124" i="1"/>
  <c r="AS124" i="1" s="1"/>
  <c r="AM124" i="1"/>
  <c r="AL124" i="1"/>
  <c r="AH124" i="1"/>
  <c r="AI124" i="1" s="1"/>
  <c r="AF124" i="1"/>
  <c r="AE124" i="1"/>
  <c r="AA124" i="1"/>
  <c r="AN124" i="1" s="1"/>
  <c r="S124" i="1"/>
  <c r="AR123" i="1"/>
  <c r="AS123" i="1" s="1"/>
  <c r="AM123" i="1"/>
  <c r="AL123" i="1"/>
  <c r="AH123" i="1"/>
  <c r="AE123" i="1"/>
  <c r="AB123" i="1"/>
  <c r="T123" i="1"/>
  <c r="AF123" i="1" s="1"/>
  <c r="AR122" i="1"/>
  <c r="AS122" i="1" s="1"/>
  <c r="AM122" i="1"/>
  <c r="AL122" i="1"/>
  <c r="AH122" i="1"/>
  <c r="AN122" i="1" s="1"/>
  <c r="AE122" i="1"/>
  <c r="AB122" i="1"/>
  <c r="T122" i="1"/>
  <c r="AF122" i="1" s="1"/>
  <c r="AS121" i="1"/>
  <c r="AL121" i="1"/>
  <c r="AH121" i="1"/>
  <c r="AG121" i="1"/>
  <c r="AM121" i="1" s="1"/>
  <c r="AB121" i="1"/>
  <c r="U121" i="1"/>
  <c r="AE121" i="1" s="1"/>
  <c r="T121" i="1"/>
  <c r="AF121" i="1" s="1"/>
  <c r="AS120" i="1"/>
  <c r="AM120" i="1"/>
  <c r="AL120" i="1"/>
  <c r="AH120" i="1"/>
  <c r="AN120" i="1" s="1"/>
  <c r="AF120" i="1"/>
  <c r="AE120" i="1"/>
  <c r="AB120" i="1"/>
  <c r="S120" i="1"/>
  <c r="AR119" i="1"/>
  <c r="AS119" i="1" s="1"/>
  <c r="AM119" i="1"/>
  <c r="AL119" i="1"/>
  <c r="AH119" i="1"/>
  <c r="AI119" i="1" s="1"/>
  <c r="AF119" i="1"/>
  <c r="AE119" i="1"/>
  <c r="AB119" i="1"/>
  <c r="S119" i="1"/>
  <c r="AR118" i="1"/>
  <c r="AS118" i="1" s="1"/>
  <c r="AM118" i="1"/>
  <c r="AL118" i="1"/>
  <c r="AH118" i="1"/>
  <c r="AN118" i="1" s="1"/>
  <c r="AF118" i="1"/>
  <c r="AE118" i="1"/>
  <c r="AB118" i="1"/>
  <c r="S118" i="1"/>
  <c r="AT118" i="1" s="1"/>
  <c r="AS117" i="1"/>
  <c r="AN117" i="1"/>
  <c r="AM117" i="1"/>
  <c r="AL117" i="1"/>
  <c r="AI117" i="1"/>
  <c r="AF117" i="1"/>
  <c r="AE117" i="1"/>
  <c r="AB117" i="1"/>
  <c r="S117" i="1"/>
  <c r="AS116" i="1"/>
  <c r="AN116" i="1"/>
  <c r="AM116" i="1"/>
  <c r="AL116" i="1"/>
  <c r="AI116" i="1"/>
  <c r="AE116" i="1"/>
  <c r="AB116" i="1"/>
  <c r="T116" i="1"/>
  <c r="AS115" i="1"/>
  <c r="AN115" i="1"/>
  <c r="AM115" i="1"/>
  <c r="AL115" i="1"/>
  <c r="AI115" i="1"/>
  <c r="AE115" i="1"/>
  <c r="AB115" i="1"/>
  <c r="T115" i="1"/>
  <c r="AF115" i="1" s="1"/>
  <c r="AS114" i="1"/>
  <c r="AM114" i="1"/>
  <c r="AL114" i="1"/>
  <c r="AH114" i="1"/>
  <c r="AN114" i="1" s="1"/>
  <c r="AE114" i="1"/>
  <c r="AB114" i="1"/>
  <c r="T114" i="1"/>
  <c r="AF114" i="1" s="1"/>
  <c r="AS113" i="1"/>
  <c r="AM113" i="1"/>
  <c r="AL113" i="1"/>
  <c r="AH113" i="1"/>
  <c r="AN113" i="1" s="1"/>
  <c r="AF113" i="1"/>
  <c r="AE113" i="1"/>
  <c r="AB113" i="1"/>
  <c r="S113" i="1"/>
  <c r="AR112" i="1"/>
  <c r="AS112" i="1" s="1"/>
  <c r="AM112" i="1"/>
  <c r="AL112" i="1"/>
  <c r="AH112" i="1"/>
  <c r="AN112" i="1" s="1"/>
  <c r="AF112" i="1"/>
  <c r="AE112" i="1"/>
  <c r="AB112" i="1"/>
  <c r="S112" i="1"/>
  <c r="AR111" i="1"/>
  <c r="AS111" i="1" s="1"/>
  <c r="AM111" i="1"/>
  <c r="AL111" i="1"/>
  <c r="AH111" i="1"/>
  <c r="AI111" i="1" s="1"/>
  <c r="AE111" i="1"/>
  <c r="AB111" i="1"/>
  <c r="T111" i="1"/>
  <c r="AR110" i="1"/>
  <c r="AS110" i="1" s="1"/>
  <c r="AM110" i="1"/>
  <c r="AL110" i="1"/>
  <c r="AH110" i="1"/>
  <c r="AF110" i="1"/>
  <c r="AE110" i="1"/>
  <c r="AB110" i="1"/>
  <c r="S110" i="1"/>
  <c r="AR109" i="1"/>
  <c r="AS109" i="1" s="1"/>
  <c r="AM109" i="1"/>
  <c r="AL109" i="1"/>
  <c r="AH109" i="1"/>
  <c r="AI109" i="1" s="1"/>
  <c r="AF109" i="1"/>
  <c r="AE109" i="1"/>
  <c r="AA109" i="1"/>
  <c r="AB109" i="1" s="1"/>
  <c r="S109" i="1"/>
  <c r="AR108" i="1"/>
  <c r="AS108" i="1" s="1"/>
  <c r="AL108" i="1"/>
  <c r="AH108" i="1"/>
  <c r="AN108" i="1" s="1"/>
  <c r="AG108" i="1"/>
  <c r="AE108" i="1"/>
  <c r="AB108" i="1"/>
  <c r="T108" i="1"/>
  <c r="AR107" i="1"/>
  <c r="AS107" i="1" s="1"/>
  <c r="AM107" i="1"/>
  <c r="AL107" i="1"/>
  <c r="AH107" i="1"/>
  <c r="AI107" i="1" s="1"/>
  <c r="AF107" i="1"/>
  <c r="AE107" i="1"/>
  <c r="AB107" i="1"/>
  <c r="S107" i="1"/>
  <c r="AS106" i="1"/>
  <c r="AN106" i="1"/>
  <c r="AM106" i="1"/>
  <c r="AL106" i="1"/>
  <c r="AI106" i="1"/>
  <c r="AF106" i="1"/>
  <c r="AE106" i="1"/>
  <c r="AB106" i="1"/>
  <c r="S106" i="1"/>
  <c r="AS105" i="1"/>
  <c r="AN105" i="1"/>
  <c r="AM105" i="1"/>
  <c r="AL105" i="1"/>
  <c r="AI105" i="1"/>
  <c r="AE105" i="1"/>
  <c r="AB105" i="1"/>
  <c r="T105" i="1"/>
  <c r="AF105" i="1" s="1"/>
  <c r="AS104" i="1"/>
  <c r="AN104" i="1"/>
  <c r="AM104" i="1"/>
  <c r="AL104" i="1"/>
  <c r="AI104" i="1"/>
  <c r="AF104" i="1"/>
  <c r="AE104" i="1"/>
  <c r="AB104" i="1"/>
  <c r="S104" i="1"/>
  <c r="AS103" i="1"/>
  <c r="AM103" i="1"/>
  <c r="AL103" i="1"/>
  <c r="AH103" i="1"/>
  <c r="AN103" i="1" s="1"/>
  <c r="AF103" i="1"/>
  <c r="AE103" i="1"/>
  <c r="AB103" i="1"/>
  <c r="S103" i="1"/>
  <c r="AS102" i="1"/>
  <c r="AN102" i="1"/>
  <c r="AM102" i="1"/>
  <c r="AL102" i="1"/>
  <c r="AI102" i="1"/>
  <c r="AF102" i="1"/>
  <c r="AE102" i="1"/>
  <c r="AB102" i="1"/>
  <c r="S102" i="1"/>
  <c r="AS101" i="1"/>
  <c r="AM101" i="1"/>
  <c r="AL101" i="1"/>
  <c r="AH101" i="1"/>
  <c r="AN101" i="1" s="1"/>
  <c r="AF101" i="1"/>
  <c r="AE101" i="1"/>
  <c r="AB101" i="1"/>
  <c r="S101" i="1"/>
  <c r="AS100" i="1"/>
  <c r="AN100" i="1"/>
  <c r="AM100" i="1"/>
  <c r="AL100" i="1"/>
  <c r="AI100" i="1"/>
  <c r="AF100" i="1"/>
  <c r="AE100" i="1"/>
  <c r="AB100" i="1"/>
  <c r="S100" i="1"/>
  <c r="AS99" i="1"/>
  <c r="AN99" i="1"/>
  <c r="AM99" i="1"/>
  <c r="AL99" i="1"/>
  <c r="AI99" i="1"/>
  <c r="AF99" i="1"/>
  <c r="AE99" i="1"/>
  <c r="AB99" i="1"/>
  <c r="S99" i="1"/>
  <c r="AS98" i="1"/>
  <c r="AN98" i="1"/>
  <c r="AM98" i="1"/>
  <c r="AL98" i="1"/>
  <c r="AI98" i="1"/>
  <c r="AF98" i="1"/>
  <c r="AE98" i="1"/>
  <c r="AB98" i="1"/>
  <c r="S98" i="1"/>
  <c r="AS97" i="1"/>
  <c r="AN97" i="1"/>
  <c r="AM97" i="1"/>
  <c r="AL97" i="1"/>
  <c r="AI97" i="1"/>
  <c r="AF97" i="1"/>
  <c r="AE97" i="1"/>
  <c r="AB97" i="1"/>
  <c r="S97" i="1"/>
  <c r="AS96" i="1"/>
  <c r="AN96" i="1"/>
  <c r="AM96" i="1"/>
  <c r="AL96" i="1"/>
  <c r="AI96" i="1"/>
  <c r="AF96" i="1"/>
  <c r="AE96" i="1"/>
  <c r="AB96" i="1"/>
  <c r="S96" i="1"/>
  <c r="AS95" i="1"/>
  <c r="AN95" i="1"/>
  <c r="AM95" i="1"/>
  <c r="AL95" i="1"/>
  <c r="AI95" i="1"/>
  <c r="AF95" i="1"/>
  <c r="AE95" i="1"/>
  <c r="AB95" i="1"/>
  <c r="S95" i="1"/>
  <c r="AS94" i="1"/>
  <c r="AN94" i="1"/>
  <c r="AM94" i="1"/>
  <c r="AL94" i="1"/>
  <c r="AI94" i="1"/>
  <c r="AF94" i="1"/>
  <c r="AE94" i="1"/>
  <c r="AB94" i="1"/>
  <c r="S94" i="1"/>
  <c r="AS93" i="1"/>
  <c r="AN93" i="1"/>
  <c r="AM93" i="1"/>
  <c r="AL93" i="1"/>
  <c r="AI93" i="1"/>
  <c r="AF93" i="1"/>
  <c r="AE93" i="1"/>
  <c r="AB93" i="1"/>
  <c r="S93" i="1"/>
  <c r="AS92" i="1"/>
  <c r="AN92" i="1"/>
  <c r="AM92" i="1"/>
  <c r="AL92" i="1"/>
  <c r="AI92" i="1"/>
  <c r="AF92" i="1"/>
  <c r="AE92" i="1"/>
  <c r="AB92" i="1"/>
  <c r="S92" i="1"/>
  <c r="AS91" i="1"/>
  <c r="AN91" i="1"/>
  <c r="AM91" i="1"/>
  <c r="AL91" i="1"/>
  <c r="AI91" i="1"/>
  <c r="AF91" i="1"/>
  <c r="AE91" i="1"/>
  <c r="AB91" i="1"/>
  <c r="S91" i="1"/>
  <c r="AS90" i="1"/>
  <c r="AN90" i="1"/>
  <c r="AM90" i="1"/>
  <c r="AL90" i="1"/>
  <c r="AI90" i="1"/>
  <c r="AF90" i="1"/>
  <c r="AE90" i="1"/>
  <c r="AB90" i="1"/>
  <c r="S90" i="1"/>
  <c r="AS89" i="1"/>
  <c r="AN89" i="1"/>
  <c r="AM89" i="1"/>
  <c r="AL89" i="1"/>
  <c r="AI89" i="1"/>
  <c r="AF89" i="1"/>
  <c r="AE89" i="1"/>
  <c r="AB89" i="1"/>
  <c r="S89" i="1"/>
  <c r="AS88" i="1"/>
  <c r="AM88" i="1"/>
  <c r="AL88" i="1"/>
  <c r="AH88" i="1"/>
  <c r="AI88" i="1" s="1"/>
  <c r="AF88" i="1"/>
  <c r="AE88" i="1"/>
  <c r="AB88" i="1"/>
  <c r="S88" i="1"/>
  <c r="AS87" i="1"/>
  <c r="AN87" i="1"/>
  <c r="AM87" i="1"/>
  <c r="AL87" i="1"/>
  <c r="AI87" i="1"/>
  <c r="AF87" i="1"/>
  <c r="AE87" i="1"/>
  <c r="AB87" i="1"/>
  <c r="S87" i="1"/>
  <c r="AS86" i="1"/>
  <c r="AM86" i="1"/>
  <c r="AL86" i="1"/>
  <c r="AH86" i="1"/>
  <c r="AN86" i="1" s="1"/>
  <c r="AF86" i="1"/>
  <c r="AE86" i="1"/>
  <c r="AB86" i="1"/>
  <c r="S86" i="1"/>
  <c r="AR85" i="1"/>
  <c r="AS85" i="1" s="1"/>
  <c r="AM85" i="1"/>
  <c r="AL85" i="1"/>
  <c r="AH85" i="1"/>
  <c r="AF85" i="1"/>
  <c r="AE85" i="1"/>
  <c r="AB85" i="1"/>
  <c r="S85" i="1"/>
  <c r="AS84" i="1"/>
  <c r="AR84" i="1"/>
  <c r="AM84" i="1"/>
  <c r="AL84" i="1"/>
  <c r="AH84" i="1"/>
  <c r="AI84" i="1" s="1"/>
  <c r="AF84" i="1"/>
  <c r="AE84" i="1"/>
  <c r="AB84" i="1"/>
  <c r="S84" i="1"/>
  <c r="AR83" i="1"/>
  <c r="AS83" i="1" s="1"/>
  <c r="AM83" i="1"/>
  <c r="AL83" i="1"/>
  <c r="AH83" i="1"/>
  <c r="AI83" i="1" s="1"/>
  <c r="AF83" i="1"/>
  <c r="AE83" i="1"/>
  <c r="AB83" i="1"/>
  <c r="S83" i="1"/>
  <c r="AR82" i="1"/>
  <c r="AS82" i="1" s="1"/>
  <c r="AM82" i="1"/>
  <c r="AL82" i="1"/>
  <c r="AH82" i="1"/>
  <c r="AN82" i="1" s="1"/>
  <c r="AF82" i="1"/>
  <c r="AE82" i="1"/>
  <c r="AB82" i="1"/>
  <c r="S82" i="1"/>
  <c r="AR81" i="1"/>
  <c r="AS81" i="1" s="1"/>
  <c r="AM81" i="1"/>
  <c r="AL81" i="1"/>
  <c r="AH81" i="1"/>
  <c r="AF81" i="1"/>
  <c r="AE81" i="1"/>
  <c r="AB81" i="1"/>
  <c r="S81" i="1"/>
  <c r="AR80" i="1"/>
  <c r="AS80" i="1" s="1"/>
  <c r="AM80" i="1"/>
  <c r="AL80" i="1"/>
  <c r="AH80" i="1"/>
  <c r="AI80" i="1" s="1"/>
  <c r="AF80" i="1"/>
  <c r="AE80" i="1"/>
  <c r="AB80" i="1"/>
  <c r="S80" i="1"/>
  <c r="AR79" i="1"/>
  <c r="AS79" i="1" s="1"/>
  <c r="AN79" i="1"/>
  <c r="AM79" i="1"/>
  <c r="AL79" i="1"/>
  <c r="AH79" i="1"/>
  <c r="AI79" i="1" s="1"/>
  <c r="AF79" i="1"/>
  <c r="AE79" i="1"/>
  <c r="AB79" i="1"/>
  <c r="S79" i="1"/>
  <c r="AR78" i="1"/>
  <c r="AS78" i="1" s="1"/>
  <c r="AM78" i="1"/>
  <c r="AL78" i="1"/>
  <c r="AH78" i="1"/>
  <c r="AN78" i="1" s="1"/>
  <c r="AF78" i="1"/>
  <c r="AE78" i="1"/>
  <c r="AB78" i="1"/>
  <c r="S78" i="1"/>
  <c r="AR77" i="1"/>
  <c r="AS77" i="1" s="1"/>
  <c r="AM77" i="1"/>
  <c r="AL77" i="1"/>
  <c r="AH77" i="1"/>
  <c r="AN77" i="1" s="1"/>
  <c r="AF77" i="1"/>
  <c r="AE77" i="1"/>
  <c r="AB77" i="1"/>
  <c r="S77" i="1"/>
  <c r="AT77" i="1" s="1"/>
  <c r="AS76" i="1"/>
  <c r="AN76" i="1"/>
  <c r="AM76" i="1"/>
  <c r="AL76" i="1"/>
  <c r="AI76" i="1"/>
  <c r="AF76" i="1"/>
  <c r="AE76" i="1"/>
  <c r="AB76" i="1"/>
  <c r="S76" i="1"/>
  <c r="AR75" i="1"/>
  <c r="AS75" i="1" s="1"/>
  <c r="AM75" i="1"/>
  <c r="AL75" i="1"/>
  <c r="AH75" i="1"/>
  <c r="AI75" i="1" s="1"/>
  <c r="AF75" i="1"/>
  <c r="AE75" i="1"/>
  <c r="AB75" i="1"/>
  <c r="S75" i="1"/>
  <c r="AR74" i="1"/>
  <c r="AS74" i="1" s="1"/>
  <c r="AM74" i="1"/>
  <c r="AL74" i="1"/>
  <c r="AH74" i="1"/>
  <c r="AN74" i="1" s="1"/>
  <c r="AF74" i="1"/>
  <c r="AE74" i="1"/>
  <c r="AB74" i="1"/>
  <c r="S74" i="1"/>
  <c r="AT74" i="1" s="1"/>
  <c r="AR73" i="1"/>
  <c r="AS73" i="1" s="1"/>
  <c r="AM73" i="1"/>
  <c r="AL73" i="1"/>
  <c r="AH73" i="1"/>
  <c r="AF73" i="1"/>
  <c r="AE73" i="1"/>
  <c r="AB73" i="1"/>
  <c r="S73" i="1"/>
  <c r="AR72" i="1"/>
  <c r="AS72" i="1" s="1"/>
  <c r="AM72" i="1"/>
  <c r="AL72" i="1"/>
  <c r="AH72" i="1"/>
  <c r="AI72" i="1" s="1"/>
  <c r="AF72" i="1"/>
  <c r="AE72" i="1"/>
  <c r="AB72" i="1"/>
  <c r="S72" i="1"/>
  <c r="AR71" i="1"/>
  <c r="AS71" i="1" s="1"/>
  <c r="AN71" i="1"/>
  <c r="AM71" i="1"/>
  <c r="AL71" i="1"/>
  <c r="AH71" i="1"/>
  <c r="AI71" i="1" s="1"/>
  <c r="AF71" i="1"/>
  <c r="AE71" i="1"/>
  <c r="AB71" i="1"/>
  <c r="S71" i="1"/>
  <c r="AS70" i="1"/>
  <c r="AN70" i="1"/>
  <c r="AM70" i="1"/>
  <c r="AL70" i="1"/>
  <c r="AI70" i="1"/>
  <c r="AF70" i="1"/>
  <c r="AE70" i="1"/>
  <c r="AB70" i="1"/>
  <c r="S70" i="1"/>
  <c r="AR69" i="1"/>
  <c r="AS69" i="1" s="1"/>
  <c r="AM69" i="1"/>
  <c r="AL69" i="1"/>
  <c r="AH69" i="1"/>
  <c r="AI69" i="1" s="1"/>
  <c r="AE69" i="1"/>
  <c r="AB69" i="1"/>
  <c r="T69" i="1"/>
  <c r="AF69" i="1" s="1"/>
  <c r="AR68" i="1"/>
  <c r="AS68" i="1" s="1"/>
  <c r="AM68" i="1"/>
  <c r="AL68" i="1"/>
  <c r="AH68" i="1"/>
  <c r="AF68" i="1"/>
  <c r="AE68" i="1"/>
  <c r="AB68" i="1"/>
  <c r="S68" i="1"/>
  <c r="AR67" i="1"/>
  <c r="AS67" i="1" s="1"/>
  <c r="AM67" i="1"/>
  <c r="AL67" i="1"/>
  <c r="AH67" i="1"/>
  <c r="AN67" i="1" s="1"/>
  <c r="AF67" i="1"/>
  <c r="AE67" i="1"/>
  <c r="AB67" i="1"/>
  <c r="S67" i="1"/>
  <c r="AT67" i="1" s="1"/>
  <c r="AR66" i="1"/>
  <c r="AS66" i="1" s="1"/>
  <c r="AM66" i="1"/>
  <c r="AL66" i="1"/>
  <c r="AH66" i="1"/>
  <c r="AF66" i="1"/>
  <c r="AE66" i="1"/>
  <c r="AB66" i="1"/>
  <c r="S66" i="1"/>
  <c r="AR65" i="1"/>
  <c r="AS65" i="1" s="1"/>
  <c r="AL65" i="1"/>
  <c r="AH65" i="1"/>
  <c r="AG65" i="1"/>
  <c r="AM65" i="1" s="1"/>
  <c r="AE65" i="1"/>
  <c r="AB65" i="1"/>
  <c r="T65" i="1"/>
  <c r="AS64" i="1"/>
  <c r="AN64" i="1"/>
  <c r="AM64" i="1"/>
  <c r="AL64" i="1"/>
  <c r="AI64" i="1"/>
  <c r="AF64" i="1"/>
  <c r="AE64" i="1"/>
  <c r="AB64" i="1"/>
  <c r="S64" i="1"/>
  <c r="AR63" i="1"/>
  <c r="AS63" i="1" s="1"/>
  <c r="AM63" i="1"/>
  <c r="AL63" i="1"/>
  <c r="AH63" i="1"/>
  <c r="AN63" i="1" s="1"/>
  <c r="AF63" i="1"/>
  <c r="AE63" i="1"/>
  <c r="AB63" i="1"/>
  <c r="S63" i="1"/>
  <c r="AR62" i="1"/>
  <c r="AS62" i="1" s="1"/>
  <c r="AM62" i="1"/>
  <c r="AL62" i="1"/>
  <c r="AH62" i="1"/>
  <c r="AI62" i="1" s="1"/>
  <c r="AF62" i="1"/>
  <c r="AE62" i="1"/>
  <c r="AB62" i="1"/>
  <c r="S62" i="1"/>
  <c r="AR61" i="1"/>
  <c r="AS61" i="1" s="1"/>
  <c r="AL61" i="1"/>
  <c r="AH61" i="1"/>
  <c r="AI61" i="1" s="1"/>
  <c r="AA61" i="1"/>
  <c r="Z61" i="1"/>
  <c r="U61" i="1"/>
  <c r="T61" i="1"/>
  <c r="AS60" i="1"/>
  <c r="AR60" i="1"/>
  <c r="AM60" i="1"/>
  <c r="AL60" i="1"/>
  <c r="AH60" i="1"/>
  <c r="AI60" i="1" s="1"/>
  <c r="AF60" i="1"/>
  <c r="AE60" i="1"/>
  <c r="AA60" i="1"/>
  <c r="AB60" i="1" s="1"/>
  <c r="S60" i="1"/>
  <c r="AR59" i="1"/>
  <c r="AS59" i="1" s="1"/>
  <c r="AL59" i="1"/>
  <c r="AH59" i="1"/>
  <c r="AI59" i="1" s="1"/>
  <c r="Z59" i="1"/>
  <c r="AB59" i="1" s="1"/>
  <c r="U59" i="1"/>
  <c r="T59" i="1"/>
  <c r="AF59" i="1" s="1"/>
  <c r="AR58" i="1"/>
  <c r="AS58" i="1" s="1"/>
  <c r="AM58" i="1"/>
  <c r="AL58" i="1"/>
  <c r="AH58" i="1"/>
  <c r="AF58" i="1"/>
  <c r="AE58" i="1"/>
  <c r="AB58" i="1"/>
  <c r="S58" i="1"/>
  <c r="AR57" i="1"/>
  <c r="AS57" i="1" s="1"/>
  <c r="AM57" i="1"/>
  <c r="AL57" i="1"/>
  <c r="AH57" i="1"/>
  <c r="AI57" i="1" s="1"/>
  <c r="AF57" i="1"/>
  <c r="AE57" i="1"/>
  <c r="AB57" i="1"/>
  <c r="S57" i="1"/>
  <c r="AR56" i="1"/>
  <c r="AS56" i="1" s="1"/>
  <c r="AM56" i="1"/>
  <c r="AL56" i="1"/>
  <c r="AH56" i="1"/>
  <c r="AI56" i="1" s="1"/>
  <c r="AF56" i="1"/>
  <c r="AE56" i="1"/>
  <c r="AB56" i="1"/>
  <c r="S56" i="1"/>
  <c r="AS55" i="1"/>
  <c r="AN55" i="1"/>
  <c r="AM55" i="1"/>
  <c r="AL55" i="1"/>
  <c r="AI55" i="1"/>
  <c r="AF55" i="1"/>
  <c r="AE55" i="1"/>
  <c r="AB55" i="1"/>
  <c r="S55" i="1"/>
  <c r="AS54" i="1"/>
  <c r="AL54" i="1"/>
  <c r="AH54" i="1"/>
  <c r="AI54" i="1" s="1"/>
  <c r="AG54" i="1"/>
  <c r="AM54" i="1" s="1"/>
  <c r="AA54" i="1"/>
  <c r="U54" i="1"/>
  <c r="AE54" i="1" s="1"/>
  <c r="T54" i="1"/>
  <c r="AS53" i="1"/>
  <c r="AN53" i="1"/>
  <c r="AM53" i="1"/>
  <c r="AL53" i="1"/>
  <c r="AI53" i="1"/>
  <c r="AF53" i="1"/>
  <c r="AE53" i="1"/>
  <c r="AB53" i="1"/>
  <c r="S53" i="1"/>
  <c r="AS52" i="1"/>
  <c r="AN52" i="1"/>
  <c r="AM52" i="1"/>
  <c r="AL52" i="1"/>
  <c r="AI52" i="1"/>
  <c r="AF52" i="1"/>
  <c r="AE52" i="1"/>
  <c r="AB52" i="1"/>
  <c r="S52" i="1"/>
  <c r="AS51" i="1"/>
  <c r="AN51" i="1"/>
  <c r="AM51" i="1"/>
  <c r="AL51" i="1"/>
  <c r="AI51" i="1"/>
  <c r="AF51" i="1"/>
  <c r="AE51" i="1"/>
  <c r="AB51" i="1"/>
  <c r="S51" i="1"/>
  <c r="AS50" i="1"/>
  <c r="AR50" i="1"/>
  <c r="AM50" i="1"/>
  <c r="AL50" i="1"/>
  <c r="AH50" i="1"/>
  <c r="AI50" i="1" s="1"/>
  <c r="AE50" i="1"/>
  <c r="AB50" i="1"/>
  <c r="T50" i="1"/>
  <c r="AF50" i="1" s="1"/>
  <c r="AS49" i="1"/>
  <c r="AR49" i="1"/>
  <c r="AM49" i="1"/>
  <c r="AL49" i="1"/>
  <c r="AH49" i="1"/>
  <c r="AI49" i="1" s="1"/>
  <c r="AF49" i="1"/>
  <c r="AE49" i="1"/>
  <c r="AA49" i="1"/>
  <c r="AB49" i="1" s="1"/>
  <c r="S49" i="1"/>
  <c r="AR48" i="1"/>
  <c r="AS48" i="1" s="1"/>
  <c r="AM48" i="1"/>
  <c r="AL48" i="1"/>
  <c r="AH48" i="1"/>
  <c r="AI48" i="1" s="1"/>
  <c r="AF48" i="1"/>
  <c r="AE48" i="1"/>
  <c r="AA48" i="1"/>
  <c r="AB48" i="1" s="1"/>
  <c r="S48" i="1"/>
  <c r="AR47" i="1"/>
  <c r="AS47" i="1" s="1"/>
  <c r="AM47" i="1"/>
  <c r="AL47" i="1"/>
  <c r="AH47" i="1"/>
  <c r="AI47" i="1" s="1"/>
  <c r="AF47" i="1"/>
  <c r="AE47" i="1"/>
  <c r="AA47" i="1"/>
  <c r="AB47" i="1" s="1"/>
  <c r="S47" i="1"/>
  <c r="AR46" i="1"/>
  <c r="AS46" i="1" s="1"/>
  <c r="AM46" i="1"/>
  <c r="AL46" i="1"/>
  <c r="AH46" i="1"/>
  <c r="AI46" i="1" s="1"/>
  <c r="AF46" i="1"/>
  <c r="AE46" i="1"/>
  <c r="AA46" i="1"/>
  <c r="AB46" i="1" s="1"/>
  <c r="S46" i="1"/>
  <c r="AR45" i="1"/>
  <c r="AS45" i="1" s="1"/>
  <c r="AL45" i="1"/>
  <c r="AH45" i="1"/>
  <c r="AI45" i="1" s="1"/>
  <c r="AA45" i="1"/>
  <c r="Z45" i="1"/>
  <c r="U45" i="1"/>
  <c r="T45" i="1"/>
  <c r="AF45" i="1" s="1"/>
  <c r="AS44" i="1"/>
  <c r="AN44" i="1"/>
  <c r="AM44" i="1"/>
  <c r="AL44" i="1"/>
  <c r="AI44" i="1"/>
  <c r="AE44" i="1"/>
  <c r="AB44" i="1"/>
  <c r="T44" i="1"/>
  <c r="AF44" i="1" s="1"/>
  <c r="AS43" i="1"/>
  <c r="AI43" i="1"/>
  <c r="AF43" i="1"/>
  <c r="AE43" i="1"/>
  <c r="S43" i="1"/>
  <c r="AT43" i="1" s="1"/>
  <c r="AR42" i="1"/>
  <c r="AS42" i="1" s="1"/>
  <c r="AM42" i="1"/>
  <c r="AL42" i="1"/>
  <c r="AH42" i="1"/>
  <c r="AN42" i="1" s="1"/>
  <c r="AF42" i="1"/>
  <c r="AE42" i="1"/>
  <c r="S42" i="1"/>
  <c r="AR41" i="1"/>
  <c r="AS41" i="1" s="1"/>
  <c r="AM41" i="1"/>
  <c r="AL41" i="1"/>
  <c r="AH41" i="1"/>
  <c r="AI41" i="1" s="1"/>
  <c r="AF41" i="1"/>
  <c r="AE41" i="1"/>
  <c r="S41" i="1"/>
  <c r="AR40" i="1"/>
  <c r="AS40" i="1" s="1"/>
  <c r="AM40" i="1"/>
  <c r="AL40" i="1"/>
  <c r="AH40" i="1"/>
  <c r="AI40" i="1" s="1"/>
  <c r="AF40" i="1"/>
  <c r="AE40" i="1"/>
  <c r="AA40" i="1"/>
  <c r="AN40" i="1" s="1"/>
  <c r="S40" i="1"/>
  <c r="AR39" i="1"/>
  <c r="AS39" i="1" s="1"/>
  <c r="AM39" i="1"/>
  <c r="AL39" i="1"/>
  <c r="AH39" i="1"/>
  <c r="AF39" i="1"/>
  <c r="AE39" i="1"/>
  <c r="AB39" i="1"/>
  <c r="S39" i="1"/>
  <c r="AR38" i="1"/>
  <c r="AS38" i="1" s="1"/>
  <c r="AM38" i="1"/>
  <c r="AL38" i="1"/>
  <c r="AH38" i="1"/>
  <c r="AN38" i="1" s="1"/>
  <c r="AF38" i="1"/>
  <c r="AE38" i="1"/>
  <c r="AB38" i="1"/>
  <c r="S38" i="1"/>
  <c r="AS37" i="1"/>
  <c r="AN37" i="1"/>
  <c r="AM37" i="1"/>
  <c r="AL37" i="1"/>
  <c r="AI37" i="1"/>
  <c r="AF37" i="1"/>
  <c r="AE37" i="1"/>
  <c r="AB37" i="1"/>
  <c r="S37" i="1"/>
  <c r="AS36" i="1"/>
  <c r="AN36" i="1"/>
  <c r="AM36" i="1"/>
  <c r="AL36" i="1"/>
  <c r="AI36" i="1"/>
  <c r="AF36" i="1"/>
  <c r="AE36" i="1"/>
  <c r="AB36" i="1"/>
  <c r="S36" i="1"/>
  <c r="AR35" i="1"/>
  <c r="AS35" i="1" s="1"/>
  <c r="AM35" i="1"/>
  <c r="AL35" i="1"/>
  <c r="AH35" i="1"/>
  <c r="AN35" i="1" s="1"/>
  <c r="AE35" i="1"/>
  <c r="AB35" i="1"/>
  <c r="T35" i="1"/>
  <c r="AF35" i="1" s="1"/>
  <c r="AS34" i="1"/>
  <c r="AM34" i="1"/>
  <c r="AL34" i="1"/>
  <c r="AI34" i="1"/>
  <c r="AF34" i="1"/>
  <c r="AE34" i="1"/>
  <c r="AA34" i="1"/>
  <c r="AN34" i="1" s="1"/>
  <c r="S34" i="1"/>
  <c r="AR33" i="1"/>
  <c r="AS33" i="1" s="1"/>
  <c r="AL33" i="1"/>
  <c r="AH33" i="1"/>
  <c r="AI33" i="1" s="1"/>
  <c r="AA33" i="1"/>
  <c r="Z33" i="1"/>
  <c r="AM33" i="1" s="1"/>
  <c r="U33" i="1"/>
  <c r="T33" i="1"/>
  <c r="AR32" i="1"/>
  <c r="AS32" i="1" s="1"/>
  <c r="AL32" i="1"/>
  <c r="AH32" i="1"/>
  <c r="AI32" i="1" s="1"/>
  <c r="AA32" i="1"/>
  <c r="Z32" i="1"/>
  <c r="AM32" i="1" s="1"/>
  <c r="U32" i="1"/>
  <c r="T32" i="1"/>
  <c r="AF32" i="1" s="1"/>
  <c r="AR31" i="1"/>
  <c r="AS31" i="1" s="1"/>
  <c r="AM31" i="1"/>
  <c r="AL31" i="1"/>
  <c r="AH31" i="1"/>
  <c r="AI31" i="1" s="1"/>
  <c r="AF31" i="1"/>
  <c r="AE31" i="1"/>
  <c r="AA31" i="1"/>
  <c r="AN31" i="1" s="1"/>
  <c r="S31" i="1"/>
  <c r="AS30" i="1"/>
  <c r="AM30" i="1"/>
  <c r="AL30" i="1"/>
  <c r="AH30" i="1"/>
  <c r="AI30" i="1" s="1"/>
  <c r="AF30" i="1"/>
  <c r="AE30" i="1"/>
  <c r="AB30" i="1"/>
  <c r="S30" i="1"/>
  <c r="AS29" i="1"/>
  <c r="AM29" i="1"/>
  <c r="AL29" i="1"/>
  <c r="AH29" i="1"/>
  <c r="AI29" i="1" s="1"/>
  <c r="AF29" i="1"/>
  <c r="AE29" i="1"/>
  <c r="AB29" i="1"/>
  <c r="S29" i="1"/>
  <c r="AS28" i="1"/>
  <c r="AM28" i="1"/>
  <c r="AL28" i="1"/>
  <c r="AH28" i="1"/>
  <c r="AI28" i="1" s="1"/>
  <c r="AF28" i="1"/>
  <c r="AE28" i="1"/>
  <c r="AB28" i="1"/>
  <c r="S28" i="1"/>
  <c r="AN27" i="1"/>
  <c r="AM27" i="1"/>
  <c r="AI27" i="1"/>
  <c r="AE27" i="1"/>
  <c r="T27" i="1"/>
  <c r="S27" i="1" s="1"/>
  <c r="AR26" i="1"/>
  <c r="AS26" i="1" s="1"/>
  <c r="AM26" i="1"/>
  <c r="AL26" i="1"/>
  <c r="AH26" i="1"/>
  <c r="AI26" i="1" s="1"/>
  <c r="AF26" i="1"/>
  <c r="AE26" i="1"/>
  <c r="AA26" i="1"/>
  <c r="AB26" i="1" s="1"/>
  <c r="S26" i="1"/>
  <c r="AS25" i="1"/>
  <c r="AM25" i="1"/>
  <c r="AL25" i="1"/>
  <c r="AH25" i="1"/>
  <c r="AN25" i="1" s="1"/>
  <c r="AF25" i="1"/>
  <c r="AE25" i="1"/>
  <c r="AB25" i="1"/>
  <c r="S25" i="1"/>
  <c r="AR24" i="1"/>
  <c r="AS24" i="1" s="1"/>
  <c r="AL24" i="1"/>
  <c r="AH24" i="1"/>
  <c r="AG24" i="1"/>
  <c r="AA24" i="1"/>
  <c r="Z24" i="1"/>
  <c r="U24" i="1"/>
  <c r="T24" i="1"/>
  <c r="AF24" i="1" s="1"/>
  <c r="AS23" i="1"/>
  <c r="AM23" i="1"/>
  <c r="AL23" i="1"/>
  <c r="AH23" i="1"/>
  <c r="AI23" i="1" s="1"/>
  <c r="AF23" i="1"/>
  <c r="AE23" i="1"/>
  <c r="S23" i="1"/>
  <c r="AS22" i="1"/>
  <c r="AM22" i="1"/>
  <c r="AL22" i="1"/>
  <c r="AH22" i="1"/>
  <c r="AN22" i="1" s="1"/>
  <c r="AF22" i="1"/>
  <c r="AE22" i="1"/>
  <c r="S22" i="1"/>
  <c r="AS21" i="1"/>
  <c r="AM21" i="1"/>
  <c r="AL21" i="1"/>
  <c r="AH21" i="1"/>
  <c r="AI21" i="1" s="1"/>
  <c r="AF21" i="1"/>
  <c r="AE21" i="1"/>
  <c r="S21" i="1"/>
  <c r="AS20" i="1"/>
  <c r="AN20" i="1"/>
  <c r="AM20" i="1"/>
  <c r="AL20" i="1"/>
  <c r="AI20" i="1"/>
  <c r="AE20" i="1"/>
  <c r="AB20" i="1"/>
  <c r="T20" i="1"/>
  <c r="AF20" i="1" s="1"/>
  <c r="AS19" i="1"/>
  <c r="AL19" i="1"/>
  <c r="AI19" i="1"/>
  <c r="AA19" i="1"/>
  <c r="AN19" i="1" s="1"/>
  <c r="Z19" i="1"/>
  <c r="U19" i="1"/>
  <c r="T19" i="1"/>
  <c r="AF19" i="1" s="1"/>
  <c r="AS18" i="1"/>
  <c r="AM18" i="1"/>
  <c r="AL18" i="1"/>
  <c r="AH18" i="1"/>
  <c r="AI18" i="1" s="1"/>
  <c r="AE18" i="1"/>
  <c r="AB18" i="1"/>
  <c r="T18" i="1"/>
  <c r="AF18" i="1" s="1"/>
  <c r="AS17" i="1"/>
  <c r="AL17" i="1"/>
  <c r="AI17" i="1"/>
  <c r="AA17" i="1"/>
  <c r="AN17" i="1" s="1"/>
  <c r="Z17" i="1"/>
  <c r="AM17" i="1" s="1"/>
  <c r="U17" i="1"/>
  <c r="T17" i="1"/>
  <c r="AF17" i="1" s="1"/>
  <c r="AS16" i="1"/>
  <c r="AN16" i="1"/>
  <c r="AM16" i="1"/>
  <c r="AL16" i="1"/>
  <c r="AI16" i="1"/>
  <c r="AE16" i="1"/>
  <c r="T16" i="1"/>
  <c r="S16" i="1" s="1"/>
  <c r="AS15" i="1"/>
  <c r="AN15" i="1"/>
  <c r="AM15" i="1"/>
  <c r="AL15" i="1"/>
  <c r="AI15" i="1"/>
  <c r="AF15" i="1"/>
  <c r="AE15" i="1"/>
  <c r="AB15" i="1"/>
  <c r="S15" i="1"/>
  <c r="AS14" i="1"/>
  <c r="AL14" i="1"/>
  <c r="AH14" i="1"/>
  <c r="AN14" i="1" s="1"/>
  <c r="AG14" i="1"/>
  <c r="AF14" i="1"/>
  <c r="AE14" i="1"/>
  <c r="AB14" i="1"/>
  <c r="T14" i="1"/>
  <c r="S14" i="1"/>
  <c r="AS13" i="1"/>
  <c r="AR13" i="1"/>
  <c r="AL13" i="1"/>
  <c r="AH13" i="1"/>
  <c r="AG13" i="1"/>
  <c r="AA13" i="1"/>
  <c r="Z13" i="1"/>
  <c r="U13" i="1"/>
  <c r="AE13" i="1" s="1"/>
  <c r="T13" i="1"/>
  <c r="AF13" i="1" s="1"/>
  <c r="AR12" i="1"/>
  <c r="AS12" i="1" s="1"/>
  <c r="AM12" i="1"/>
  <c r="AL12" i="1"/>
  <c r="AH12" i="1"/>
  <c r="AI12" i="1" s="1"/>
  <c r="AF12" i="1"/>
  <c r="AE12" i="1"/>
  <c r="AA12" i="1"/>
  <c r="S12" i="1"/>
  <c r="AS11" i="1"/>
  <c r="AM11" i="1"/>
  <c r="AL11" i="1"/>
  <c r="AH11" i="1"/>
  <c r="AI11" i="1" s="1"/>
  <c r="AF11" i="1"/>
  <c r="AE11" i="1"/>
  <c r="AB11" i="1"/>
  <c r="S11" i="1"/>
  <c r="AR10" i="1"/>
  <c r="AS10" i="1" s="1"/>
  <c r="AL10" i="1"/>
  <c r="AH10" i="1"/>
  <c r="AG10" i="1"/>
  <c r="AE10" i="1"/>
  <c r="AA10" i="1"/>
  <c r="S10" i="1"/>
  <c r="AR9" i="1"/>
  <c r="AS9" i="1" s="1"/>
  <c r="AM9" i="1"/>
  <c r="AL9" i="1"/>
  <c r="AH9" i="1"/>
  <c r="AI9" i="1" s="1"/>
  <c r="AA9" i="1"/>
  <c r="AB9" i="1" s="1"/>
  <c r="U9" i="1"/>
  <c r="AE9" i="1" s="1"/>
  <c r="T9" i="1"/>
  <c r="AR8" i="1"/>
  <c r="AS8" i="1" s="1"/>
  <c r="AL8" i="1"/>
  <c r="AH8" i="1"/>
  <c r="AI8" i="1" s="1"/>
  <c r="AA8" i="1"/>
  <c r="Z8" i="1"/>
  <c r="AM8" i="1" s="1"/>
  <c r="U8" i="1"/>
  <c r="T8" i="1"/>
  <c r="AF8" i="1" s="1"/>
  <c r="AT211" i="1" l="1"/>
  <c r="AN12" i="1"/>
  <c r="AI77" i="1"/>
  <c r="AT106" i="1"/>
  <c r="AI114" i="1"/>
  <c r="AI180" i="1"/>
  <c r="AN240" i="1"/>
  <c r="AI298" i="1"/>
  <c r="AI301" i="1"/>
  <c r="AI332" i="1"/>
  <c r="AI343" i="1"/>
  <c r="AI347" i="1"/>
  <c r="AI362" i="1"/>
  <c r="AI365" i="1"/>
  <c r="AI383" i="1"/>
  <c r="AI395" i="1"/>
  <c r="AI405" i="1"/>
  <c r="AI440" i="1"/>
  <c r="AI468" i="1"/>
  <c r="AB472" i="1"/>
  <c r="AI523" i="1"/>
  <c r="S19" i="1"/>
  <c r="AI63" i="1"/>
  <c r="AB124" i="1"/>
  <c r="AF143" i="1"/>
  <c r="AI159" i="1"/>
  <c r="AI185" i="1"/>
  <c r="AF190" i="1"/>
  <c r="AI234" i="1"/>
  <c r="AI288" i="1"/>
  <c r="AI304" i="1"/>
  <c r="AI311" i="1"/>
  <c r="AI354" i="1"/>
  <c r="AI397" i="1"/>
  <c r="AI420" i="1"/>
  <c r="AN443" i="1"/>
  <c r="AI455" i="1"/>
  <c r="AI459" i="1"/>
  <c r="AO461" i="1"/>
  <c r="AI469" i="1"/>
  <c r="AI500" i="1"/>
  <c r="AI512" i="1"/>
  <c r="AB31" i="1"/>
  <c r="AB8" i="1"/>
  <c r="AN10" i="1"/>
  <c r="AI25" i="1"/>
  <c r="AB13" i="1"/>
  <c r="AE17" i="1"/>
  <c r="AI38" i="1"/>
  <c r="AI101" i="1"/>
  <c r="AI120" i="1"/>
  <c r="AI122" i="1"/>
  <c r="S123" i="1"/>
  <c r="AI177" i="1"/>
  <c r="AB187" i="1"/>
  <c r="AI190" i="1"/>
  <c r="AI268" i="1"/>
  <c r="AI269" i="1"/>
  <c r="AI274" i="1"/>
  <c r="AI275" i="1"/>
  <c r="AI284" i="1"/>
  <c r="AI285" i="1"/>
  <c r="AI292" i="1"/>
  <c r="AI305" i="1"/>
  <c r="AI308" i="1"/>
  <c r="AI309" i="1"/>
  <c r="AI356" i="1"/>
  <c r="AI373" i="1"/>
  <c r="AI387" i="1"/>
  <c r="AI403" i="1"/>
  <c r="AI408" i="1"/>
  <c r="AI445" i="1"/>
  <c r="AI447" i="1"/>
  <c r="AI449" i="1"/>
  <c r="AI452" i="1"/>
  <c r="AI457" i="1"/>
  <c r="AI460" i="1"/>
  <c r="AI461" i="1"/>
  <c r="AI479" i="1"/>
  <c r="AI493" i="1"/>
  <c r="AI505" i="1"/>
  <c r="AI506" i="1"/>
  <c r="AT314" i="1"/>
  <c r="AO94" i="1"/>
  <c r="AT97" i="1"/>
  <c r="AT63" i="1"/>
  <c r="AT326" i="1"/>
  <c r="AT166" i="1"/>
  <c r="AT474" i="1"/>
  <c r="AO63" i="1"/>
  <c r="AO67" i="1"/>
  <c r="AT82" i="1"/>
  <c r="AT53" i="1"/>
  <c r="AM59" i="1"/>
  <c r="AT78" i="1"/>
  <c r="AT112" i="1"/>
  <c r="AT324" i="1"/>
  <c r="S9" i="1"/>
  <c r="AI13" i="1"/>
  <c r="AN107" i="1"/>
  <c r="AT107" i="1" s="1"/>
  <c r="AN497" i="1"/>
  <c r="AO497" i="1" s="1"/>
  <c r="AR527" i="1"/>
  <c r="S24" i="1"/>
  <c r="AN24" i="1"/>
  <c r="AN33" i="1"/>
  <c r="AO33" i="1" s="1"/>
  <c r="AB34" i="1"/>
  <c r="AB40" i="1"/>
  <c r="AI42" i="1"/>
  <c r="S45" i="1"/>
  <c r="AI74" i="1"/>
  <c r="AI78" i="1"/>
  <c r="AI86" i="1"/>
  <c r="AI121" i="1"/>
  <c r="AI129" i="1"/>
  <c r="AI153" i="1"/>
  <c r="AI166" i="1"/>
  <c r="AL193" i="1"/>
  <c r="AI197" i="1"/>
  <c r="AI226" i="1"/>
  <c r="AI239" i="1"/>
  <c r="S241" i="1"/>
  <c r="AT241" i="1" s="1"/>
  <c r="AI255" i="1"/>
  <c r="AI258" i="1"/>
  <c r="AI296" i="1"/>
  <c r="S297" i="1"/>
  <c r="AT297" i="1" s="1"/>
  <c r="AI302" i="1"/>
  <c r="S320" i="1"/>
  <c r="AI323" i="1"/>
  <c r="AI324" i="1"/>
  <c r="AN329" i="1"/>
  <c r="AI350" i="1"/>
  <c r="AI360" i="1"/>
  <c r="AI367" i="1"/>
  <c r="AI368" i="1"/>
  <c r="AI389" i="1"/>
  <c r="AI401" i="1"/>
  <c r="AI410" i="1"/>
  <c r="AN423" i="1"/>
  <c r="AO423" i="1" s="1"/>
  <c r="AI448" i="1"/>
  <c r="AI466" i="1"/>
  <c r="AO467" i="1"/>
  <c r="AI470" i="1"/>
  <c r="AN485" i="1"/>
  <c r="AO485" i="1" s="1"/>
  <c r="AI486" i="1"/>
  <c r="AI488" i="1"/>
  <c r="AB495" i="1"/>
  <c r="AI499" i="1"/>
  <c r="AI503" i="1"/>
  <c r="S8" i="1"/>
  <c r="AE32" i="1"/>
  <c r="AO37" i="1"/>
  <c r="S61" i="1"/>
  <c r="S121" i="1"/>
  <c r="AN218" i="1"/>
  <c r="AO218" i="1" s="1"/>
  <c r="S339" i="1"/>
  <c r="AT339" i="1" s="1"/>
  <c r="AT447" i="1"/>
  <c r="AO472" i="1"/>
  <c r="AO490" i="1"/>
  <c r="S512" i="1"/>
  <c r="AT512" i="1" s="1"/>
  <c r="AB32" i="1"/>
  <c r="S33" i="1"/>
  <c r="AT33" i="1" s="1"/>
  <c r="AB33" i="1"/>
  <c r="AO36" i="1"/>
  <c r="S44" i="1"/>
  <c r="AT44" i="1" s="1"/>
  <c r="AB45" i="1"/>
  <c r="AN61" i="1"/>
  <c r="AI67" i="1"/>
  <c r="AI82" i="1"/>
  <c r="AI141" i="1"/>
  <c r="AN187" i="1"/>
  <c r="AO187" i="1" s="1"/>
  <c r="AN188" i="1"/>
  <c r="AT188" i="1" s="1"/>
  <c r="S201" i="1"/>
  <c r="AT201" i="1" s="1"/>
  <c r="AN263" i="1"/>
  <c r="AT263" i="1" s="1"/>
  <c r="S286" i="1"/>
  <c r="AT286" i="1" s="1"/>
  <c r="S323" i="1"/>
  <c r="AT323" i="1" s="1"/>
  <c r="AN381" i="1"/>
  <c r="AT381" i="1" s="1"/>
  <c r="S420" i="1"/>
  <c r="AT420" i="1" s="1"/>
  <c r="AT36" i="1"/>
  <c r="AT64" i="1"/>
  <c r="AT102" i="1"/>
  <c r="AO160" i="1"/>
  <c r="AO164" i="1"/>
  <c r="AO254" i="1"/>
  <c r="AO350" i="1"/>
  <c r="AO104" i="1"/>
  <c r="AT42" i="1"/>
  <c r="AT89" i="1"/>
  <c r="AT93" i="1"/>
  <c r="AT96" i="1"/>
  <c r="AT100" i="1"/>
  <c r="AT207" i="1"/>
  <c r="AT153" i="1"/>
  <c r="AO178" i="1"/>
  <c r="AO203" i="1"/>
  <c r="AO283" i="1"/>
  <c r="AO291" i="1"/>
  <c r="AT335" i="1"/>
  <c r="AT384" i="1"/>
  <c r="AT431" i="1"/>
  <c r="AO433" i="1"/>
  <c r="AT154" i="1"/>
  <c r="AO157" i="1"/>
  <c r="AO318" i="1"/>
  <c r="AO384" i="1"/>
  <c r="AT510" i="1"/>
  <c r="AT151" i="1"/>
  <c r="AO15" i="1"/>
  <c r="AO16" i="1"/>
  <c r="AO20" i="1"/>
  <c r="AO27" i="1"/>
  <c r="AO76" i="1"/>
  <c r="AO90" i="1"/>
  <c r="AT99" i="1"/>
  <c r="AO118" i="1"/>
  <c r="AO226" i="1"/>
  <c r="AO293" i="1"/>
  <c r="AO297" i="1"/>
  <c r="AO299" i="1"/>
  <c r="AO445" i="1"/>
  <c r="AO470" i="1"/>
  <c r="AO499" i="1"/>
  <c r="AO503" i="1"/>
  <c r="AO519" i="1"/>
  <c r="AT325" i="1"/>
  <c r="AO87" i="1"/>
  <c r="AT167" i="1"/>
  <c r="AO98" i="1"/>
  <c r="AO146" i="1"/>
  <c r="AO151" i="1"/>
  <c r="AO265" i="1"/>
  <c r="AO474" i="1"/>
  <c r="AM10" i="1"/>
  <c r="AO10" i="1" s="1"/>
  <c r="AI10" i="1"/>
  <c r="AN73" i="1"/>
  <c r="AO73" i="1" s="1"/>
  <c r="AI73" i="1"/>
  <c r="AN303" i="1"/>
  <c r="AO303" i="1" s="1"/>
  <c r="AI303" i="1"/>
  <c r="AN345" i="1"/>
  <c r="AO345" i="1" s="1"/>
  <c r="AI345" i="1"/>
  <c r="AN399" i="1"/>
  <c r="AO399" i="1" s="1"/>
  <c r="AI399" i="1"/>
  <c r="AN417" i="1"/>
  <c r="AT417" i="1" s="1"/>
  <c r="AI417" i="1"/>
  <c r="AF424" i="1"/>
  <c r="S424" i="1"/>
  <c r="AT424" i="1" s="1"/>
  <c r="AN481" i="1"/>
  <c r="AO481" i="1" s="1"/>
  <c r="AI481" i="1"/>
  <c r="AN496" i="1"/>
  <c r="AO496" i="1" s="1"/>
  <c r="AI496" i="1"/>
  <c r="AF499" i="1"/>
  <c r="S499" i="1"/>
  <c r="AT499" i="1" s="1"/>
  <c r="AN81" i="1"/>
  <c r="AO81" i="1" s="1"/>
  <c r="AI81" i="1"/>
  <c r="AF131" i="1"/>
  <c r="S131" i="1"/>
  <c r="AT131" i="1" s="1"/>
  <c r="AN144" i="1"/>
  <c r="AT144" i="1" s="1"/>
  <c r="AI144" i="1"/>
  <c r="AN193" i="1"/>
  <c r="AO193" i="1" s="1"/>
  <c r="AI193" i="1"/>
  <c r="AN66" i="1"/>
  <c r="AT66" i="1" s="1"/>
  <c r="AI66" i="1"/>
  <c r="AN85" i="1"/>
  <c r="AT85" i="1" s="1"/>
  <c r="AI85" i="1"/>
  <c r="AI110" i="1"/>
  <c r="AN110" i="1"/>
  <c r="AO110" i="1" s="1"/>
  <c r="AN123" i="1"/>
  <c r="AO123" i="1" s="1"/>
  <c r="AI123" i="1"/>
  <c r="AF147" i="1"/>
  <c r="S147" i="1"/>
  <c r="AT147" i="1" s="1"/>
  <c r="AF158" i="1"/>
  <c r="S158" i="1"/>
  <c r="AT158" i="1" s="1"/>
  <c r="AN174" i="1"/>
  <c r="AO174" i="1" s="1"/>
  <c r="AI174" i="1"/>
  <c r="AI189" i="1"/>
  <c r="AN189" i="1"/>
  <c r="AO189" i="1" s="1"/>
  <c r="AB321" i="1"/>
  <c r="AN321" i="1"/>
  <c r="AO321" i="1" s="1"/>
  <c r="AN327" i="1"/>
  <c r="AO327" i="1" s="1"/>
  <c r="AI327" i="1"/>
  <c r="AI351" i="1"/>
  <c r="AN351" i="1"/>
  <c r="AT351" i="1" s="1"/>
  <c r="AN352" i="1"/>
  <c r="AO352" i="1" s="1"/>
  <c r="AI352" i="1"/>
  <c r="AN377" i="1"/>
  <c r="AT377" i="1" s="1"/>
  <c r="AI377" i="1"/>
  <c r="AN412" i="1"/>
  <c r="AT412" i="1" s="1"/>
  <c r="AI412" i="1"/>
  <c r="AF438" i="1"/>
  <c r="S438" i="1"/>
  <c r="AT438" i="1" s="1"/>
  <c r="AN439" i="1"/>
  <c r="AO439" i="1" s="1"/>
  <c r="AI439" i="1"/>
  <c r="AF441" i="1"/>
  <c r="S441" i="1"/>
  <c r="AT441" i="1" s="1"/>
  <c r="AN442" i="1"/>
  <c r="AO442" i="1" s="1"/>
  <c r="AI442" i="1"/>
  <c r="AF444" i="1"/>
  <c r="S444" i="1"/>
  <c r="AT444" i="1" s="1"/>
  <c r="S477" i="1"/>
  <c r="AF477" i="1"/>
  <c r="AN492" i="1"/>
  <c r="AT492" i="1" s="1"/>
  <c r="AB492" i="1"/>
  <c r="AN520" i="1"/>
  <c r="AO520" i="1" s="1"/>
  <c r="AI520" i="1"/>
  <c r="S287" i="1"/>
  <c r="AT287" i="1" s="1"/>
  <c r="AO386" i="1"/>
  <c r="S430" i="1"/>
  <c r="S483" i="1"/>
  <c r="AH527" i="1"/>
  <c r="AF16" i="1"/>
  <c r="AB17" i="1"/>
  <c r="AE24" i="1"/>
  <c r="S198" i="1"/>
  <c r="AB19" i="1"/>
  <c r="AM19" i="1"/>
  <c r="AO19" i="1" s="1"/>
  <c r="AF27" i="1"/>
  <c r="S50" i="1"/>
  <c r="AO51" i="1"/>
  <c r="AN54" i="1"/>
  <c r="AO54" i="1" s="1"/>
  <c r="AF65" i="1"/>
  <c r="AI65" i="1"/>
  <c r="AT91" i="1"/>
  <c r="AI112" i="1"/>
  <c r="AO133" i="1"/>
  <c r="S143" i="1"/>
  <c r="AT143" i="1" s="1"/>
  <c r="AO200" i="1"/>
  <c r="S212" i="1"/>
  <c r="AT212" i="1" s="1"/>
  <c r="AB240" i="1"/>
  <c r="AI265" i="1"/>
  <c r="AI322" i="1"/>
  <c r="AI326" i="1"/>
  <c r="AT336" i="1"/>
  <c r="AI382" i="1"/>
  <c r="S404" i="1"/>
  <c r="AI438" i="1"/>
  <c r="AI441" i="1"/>
  <c r="AI444" i="1"/>
  <c r="AB482" i="1"/>
  <c r="AI504" i="1"/>
  <c r="S521" i="1"/>
  <c r="AN170" i="1"/>
  <c r="AO170" i="1" s="1"/>
  <c r="AI170" i="1"/>
  <c r="AN348" i="1"/>
  <c r="AT348" i="1" s="1"/>
  <c r="AI348" i="1"/>
  <c r="AN414" i="1"/>
  <c r="AO414" i="1" s="1"/>
  <c r="AI414" i="1"/>
  <c r="AN428" i="1"/>
  <c r="AO428" i="1" s="1"/>
  <c r="AI428" i="1"/>
  <c r="AB192" i="1"/>
  <c r="AN192" i="1"/>
  <c r="AT192" i="1" s="1"/>
  <c r="AF243" i="1"/>
  <c r="S243" i="1"/>
  <c r="AT243" i="1" s="1"/>
  <c r="AT382" i="1"/>
  <c r="AF10" i="1"/>
  <c r="S13" i="1"/>
  <c r="AT125" i="1"/>
  <c r="AN128" i="1"/>
  <c r="AO128" i="1" s="1"/>
  <c r="AN155" i="1"/>
  <c r="AO155" i="1" s="1"/>
  <c r="AI155" i="1"/>
  <c r="AI165" i="1"/>
  <c r="AN165" i="1"/>
  <c r="AT165" i="1" s="1"/>
  <c r="AN227" i="1"/>
  <c r="AO227" i="1" s="1"/>
  <c r="AI227" i="1"/>
  <c r="AF285" i="1"/>
  <c r="S285" i="1"/>
  <c r="AT285" i="1" s="1"/>
  <c r="AN290" i="1"/>
  <c r="AT290" i="1" s="1"/>
  <c r="AI290" i="1"/>
  <c r="AF344" i="1"/>
  <c r="S344" i="1"/>
  <c r="AN391" i="1"/>
  <c r="AO391" i="1" s="1"/>
  <c r="AI391" i="1"/>
  <c r="AN463" i="1"/>
  <c r="AO463" i="1" s="1"/>
  <c r="AI463" i="1"/>
  <c r="AN471" i="1"/>
  <c r="AT471" i="1" s="1"/>
  <c r="AI471" i="1"/>
  <c r="AN39" i="1"/>
  <c r="AT39" i="1" s="1"/>
  <c r="AI39" i="1"/>
  <c r="AN58" i="1"/>
  <c r="AO58" i="1" s="1"/>
  <c r="AI58" i="1"/>
  <c r="AI68" i="1"/>
  <c r="AN68" i="1"/>
  <c r="AO68" i="1" s="1"/>
  <c r="AI194" i="1"/>
  <c r="AN194" i="1"/>
  <c r="AT194" i="1" s="1"/>
  <c r="AN198" i="1"/>
  <c r="AO198" i="1" s="1"/>
  <c r="AI198" i="1"/>
  <c r="AN209" i="1"/>
  <c r="AO209" i="1" s="1"/>
  <c r="AI209" i="1"/>
  <c r="AI223" i="1"/>
  <c r="AN223" i="1"/>
  <c r="AO223" i="1" s="1"/>
  <c r="AN224" i="1"/>
  <c r="AT224" i="1" s="1"/>
  <c r="AI224" i="1"/>
  <c r="AN229" i="1"/>
  <c r="AO229" i="1" s="1"/>
  <c r="AI229" i="1"/>
  <c r="AN235" i="1"/>
  <c r="AO235" i="1" s="1"/>
  <c r="AI235" i="1"/>
  <c r="AN250" i="1"/>
  <c r="AT250" i="1" s="1"/>
  <c r="AI250" i="1"/>
  <c r="AI259" i="1"/>
  <c r="AN259" i="1"/>
  <c r="AO259" i="1" s="1"/>
  <c r="AF271" i="1"/>
  <c r="S271" i="1"/>
  <c r="AF275" i="1"/>
  <c r="S275" i="1"/>
  <c r="AT275" i="1" s="1"/>
  <c r="AN279" i="1"/>
  <c r="AI279" i="1"/>
  <c r="AM329" i="1"/>
  <c r="AO329" i="1" s="1"/>
  <c r="AB329" i="1"/>
  <c r="AI339" i="1"/>
  <c r="AM339" i="1"/>
  <c r="AO339" i="1" s="1"/>
  <c r="AI344" i="1"/>
  <c r="AN344" i="1"/>
  <c r="AO344" i="1" s="1"/>
  <c r="AN364" i="1"/>
  <c r="AT364" i="1" s="1"/>
  <c r="AI364" i="1"/>
  <c r="AF418" i="1"/>
  <c r="S418" i="1"/>
  <c r="AN426" i="1"/>
  <c r="AT426" i="1" s="1"/>
  <c r="AI426" i="1"/>
  <c r="AF453" i="1"/>
  <c r="S453" i="1"/>
  <c r="AN487" i="1"/>
  <c r="AT487" i="1" s="1"/>
  <c r="AI487" i="1"/>
  <c r="AF488" i="1"/>
  <c r="S488" i="1"/>
  <c r="AT488" i="1" s="1"/>
  <c r="AN489" i="1"/>
  <c r="AT489" i="1" s="1"/>
  <c r="AI489" i="1"/>
  <c r="AI179" i="1"/>
  <c r="AN179" i="1"/>
  <c r="AO179" i="1" s="1"/>
  <c r="AF189" i="1"/>
  <c r="S189" i="1"/>
  <c r="AN206" i="1"/>
  <c r="AO206" i="1" s="1"/>
  <c r="AI206" i="1"/>
  <c r="AN213" i="1"/>
  <c r="AT213" i="1" s="1"/>
  <c r="AI213" i="1"/>
  <c r="AI215" i="1"/>
  <c r="AN215" i="1"/>
  <c r="AO215" i="1" s="1"/>
  <c r="AN216" i="1"/>
  <c r="AO216" i="1" s="1"/>
  <c r="AI216" i="1"/>
  <c r="AN232" i="1"/>
  <c r="AO232" i="1" s="1"/>
  <c r="AI232" i="1"/>
  <c r="AN237" i="1"/>
  <c r="AI237" i="1"/>
  <c r="AI271" i="1"/>
  <c r="AN271" i="1"/>
  <c r="AO271" i="1" s="1"/>
  <c r="AN272" i="1"/>
  <c r="AO272" i="1" s="1"/>
  <c r="AI272" i="1"/>
  <c r="AN316" i="1"/>
  <c r="AO316" i="1" s="1"/>
  <c r="AI316" i="1"/>
  <c r="AF368" i="1"/>
  <c r="S368" i="1"/>
  <c r="AT368" i="1" s="1"/>
  <c r="AF374" i="1"/>
  <c r="S374" i="1"/>
  <c r="AT374" i="1" s="1"/>
  <c r="AN375" i="1"/>
  <c r="AT375" i="1" s="1"/>
  <c r="AI375" i="1"/>
  <c r="S410" i="1"/>
  <c r="AT410" i="1" s="1"/>
  <c r="AF410" i="1"/>
  <c r="AI418" i="1"/>
  <c r="AN418" i="1"/>
  <c r="AO418" i="1" s="1"/>
  <c r="AI450" i="1"/>
  <c r="AN450" i="1"/>
  <c r="AO450" i="1" s="1"/>
  <c r="AN451" i="1"/>
  <c r="AO451" i="1" s="1"/>
  <c r="AI451" i="1"/>
  <c r="AI453" i="1"/>
  <c r="AN453" i="1"/>
  <c r="AT453" i="1" s="1"/>
  <c r="AN454" i="1"/>
  <c r="AT454" i="1" s="1"/>
  <c r="AI454" i="1"/>
  <c r="AM458" i="1"/>
  <c r="AO458" i="1" s="1"/>
  <c r="AB458" i="1"/>
  <c r="AN521" i="1"/>
  <c r="AO521" i="1" s="1"/>
  <c r="AI521" i="1"/>
  <c r="AF522" i="1"/>
  <c r="S522" i="1"/>
  <c r="AT522" i="1" s="1"/>
  <c r="AF182" i="1"/>
  <c r="AT322" i="1"/>
  <c r="AF61" i="1"/>
  <c r="S227" i="1"/>
  <c r="AO336" i="1"/>
  <c r="AN385" i="1"/>
  <c r="AO385" i="1" s="1"/>
  <c r="S428" i="1"/>
  <c r="AF483" i="1"/>
  <c r="AN508" i="1"/>
  <c r="AO508" i="1" s="1"/>
  <c r="AO55" i="1"/>
  <c r="S115" i="1"/>
  <c r="AT115" i="1" s="1"/>
  <c r="AT138" i="1"/>
  <c r="AN196" i="1"/>
  <c r="AT196" i="1" s="1"/>
  <c r="S220" i="1"/>
  <c r="AT220" i="1" s="1"/>
  <c r="S235" i="1"/>
  <c r="S249" i="1"/>
  <c r="AT249" i="1" s="1"/>
  <c r="AF339" i="1"/>
  <c r="AN357" i="1"/>
  <c r="AT357" i="1" s="1"/>
  <c r="S465" i="1"/>
  <c r="AF465" i="1"/>
  <c r="AO476" i="1"/>
  <c r="AN511" i="1"/>
  <c r="AT511" i="1" s="1"/>
  <c r="AN32" i="1"/>
  <c r="AO32" i="1" s="1"/>
  <c r="S54" i="1"/>
  <c r="AE59" i="1"/>
  <c r="AB61" i="1"/>
  <c r="AE8" i="1"/>
  <c r="AI14" i="1"/>
  <c r="S17" i="1"/>
  <c r="AT17" i="1" s="1"/>
  <c r="AI24" i="1"/>
  <c r="AE33" i="1"/>
  <c r="AN45" i="1"/>
  <c r="AT51" i="1"/>
  <c r="AO53" i="1"/>
  <c r="AF54" i="1"/>
  <c r="S59" i="1"/>
  <c r="AE61" i="1"/>
  <c r="S69" i="1"/>
  <c r="AN69" i="1"/>
  <c r="AO69" i="1" s="1"/>
  <c r="AO100" i="1"/>
  <c r="S105" i="1"/>
  <c r="AT105" i="1" s="1"/>
  <c r="AO106" i="1"/>
  <c r="AI108" i="1"/>
  <c r="S114" i="1"/>
  <c r="AT114" i="1" s="1"/>
  <c r="AT117" i="1"/>
  <c r="S122" i="1"/>
  <c r="AT122" i="1" s="1"/>
  <c r="AO125" i="1"/>
  <c r="AT133" i="1"/>
  <c r="AO141" i="1"/>
  <c r="S146" i="1"/>
  <c r="AT146" i="1" s="1"/>
  <c r="AO158" i="1"/>
  <c r="AI164" i="1"/>
  <c r="AN173" i="1"/>
  <c r="AT173" i="1" s="1"/>
  <c r="AF181" i="1"/>
  <c r="AE182" i="1"/>
  <c r="AE187" i="1"/>
  <c r="AO190" i="1"/>
  <c r="AN191" i="1"/>
  <c r="AO191" i="1" s="1"/>
  <c r="AT200" i="1"/>
  <c r="S202" i="1"/>
  <c r="AT202" i="1" s="1"/>
  <c r="AN208" i="1"/>
  <c r="AO208" i="1" s="1"/>
  <c r="AO210" i="1"/>
  <c r="S214" i="1"/>
  <c r="AT214" i="1" s="1"/>
  <c r="S217" i="1"/>
  <c r="AT217" i="1" s="1"/>
  <c r="AN221" i="1"/>
  <c r="AO221" i="1" s="1"/>
  <c r="S225" i="1"/>
  <c r="AT225" i="1" s="1"/>
  <c r="S233" i="1"/>
  <c r="AT233" i="1" s="1"/>
  <c r="S251" i="1"/>
  <c r="AN262" i="1"/>
  <c r="AT262" i="1" s="1"/>
  <c r="AO274" i="1"/>
  <c r="S317" i="1"/>
  <c r="AT317" i="1" s="1"/>
  <c r="S329" i="1"/>
  <c r="AO337" i="1"/>
  <c r="S340" i="1"/>
  <c r="S346" i="1"/>
  <c r="AT346" i="1" s="1"/>
  <c r="AN355" i="1"/>
  <c r="AO355" i="1" s="1"/>
  <c r="AO361" i="1"/>
  <c r="S365" i="1"/>
  <c r="AT365" i="1" s="1"/>
  <c r="AO369" i="1"/>
  <c r="S373" i="1"/>
  <c r="AT373" i="1" s="1"/>
  <c r="S379" i="1"/>
  <c r="AN379" i="1"/>
  <c r="AO379" i="1" s="1"/>
  <c r="S408" i="1"/>
  <c r="AN411" i="1"/>
  <c r="AO411" i="1" s="1"/>
  <c r="AN421" i="1"/>
  <c r="AT421" i="1" s="1"/>
  <c r="S427" i="1"/>
  <c r="AT427" i="1" s="1"/>
  <c r="S429" i="1"/>
  <c r="AN429" i="1"/>
  <c r="AO429" i="1" s="1"/>
  <c r="AT435" i="1"/>
  <c r="S445" i="1"/>
  <c r="AT445" i="1" s="1"/>
  <c r="AN446" i="1"/>
  <c r="AO446" i="1" s="1"/>
  <c r="S455" i="1"/>
  <c r="AT455" i="1" s="1"/>
  <c r="S459" i="1"/>
  <c r="AT459" i="1" s="1"/>
  <c r="AO459" i="1"/>
  <c r="AN465" i="1"/>
  <c r="AO465" i="1" s="1"/>
  <c r="S469" i="1"/>
  <c r="AT469" i="1" s="1"/>
  <c r="AO469" i="1"/>
  <c r="S479" i="1"/>
  <c r="AT479" i="1" s="1"/>
  <c r="S482" i="1"/>
  <c r="AT482" i="1" s="1"/>
  <c r="AO493" i="1"/>
  <c r="S503" i="1"/>
  <c r="AT503" i="1" s="1"/>
  <c r="S523" i="1"/>
  <c r="AT523" i="1" s="1"/>
  <c r="AO525" i="1"/>
  <c r="AO70" i="1"/>
  <c r="AO89" i="1"/>
  <c r="AO116" i="1"/>
  <c r="AO138" i="1"/>
  <c r="AI181" i="1"/>
  <c r="AB182" i="1"/>
  <c r="AT313" i="1"/>
  <c r="AE329" i="1"/>
  <c r="AO363" i="1"/>
  <c r="AO368" i="1"/>
  <c r="AE458" i="1"/>
  <c r="AO468" i="1"/>
  <c r="AO475" i="1"/>
  <c r="AO478" i="1"/>
  <c r="AM482" i="1"/>
  <c r="AO482" i="1" s="1"/>
  <c r="AN483" i="1"/>
  <c r="AO77" i="1"/>
  <c r="AT135" i="1"/>
  <c r="AO380" i="1"/>
  <c r="AT12" i="1"/>
  <c r="AO44" i="1"/>
  <c r="AO92" i="1"/>
  <c r="AT124" i="1"/>
  <c r="AO169" i="1"/>
  <c r="AO202" i="1"/>
  <c r="AO263" i="1"/>
  <c r="AO317" i="1"/>
  <c r="AO343" i="1"/>
  <c r="AO410" i="1"/>
  <c r="AT38" i="1"/>
  <c r="AT10" i="1"/>
  <c r="AO34" i="1"/>
  <c r="AO52" i="1"/>
  <c r="AO78" i="1"/>
  <c r="AT92" i="1"/>
  <c r="AO93" i="1"/>
  <c r="AO96" i="1"/>
  <c r="AO103" i="1"/>
  <c r="AO105" i="1"/>
  <c r="AO115" i="1"/>
  <c r="AT120" i="1"/>
  <c r="AT169" i="1"/>
  <c r="AO220" i="1"/>
  <c r="AO225" i="1"/>
  <c r="AO238" i="1"/>
  <c r="AO241" i="1"/>
  <c r="AO275" i="1"/>
  <c r="AO285" i="1"/>
  <c r="AO335" i="1"/>
  <c r="AT405" i="1"/>
  <c r="AO440" i="1"/>
  <c r="AT495" i="1"/>
  <c r="AO509" i="1"/>
  <c r="AO17" i="1"/>
  <c r="AT40" i="1"/>
  <c r="AT16" i="1"/>
  <c r="AT34" i="1"/>
  <c r="AT37" i="1"/>
  <c r="AT55" i="1"/>
  <c r="AO64" i="1"/>
  <c r="AO97" i="1"/>
  <c r="AT101" i="1"/>
  <c r="AO130" i="1"/>
  <c r="AO154" i="1"/>
  <c r="AT178" i="1"/>
  <c r="AO185" i="1"/>
  <c r="AO211" i="1"/>
  <c r="AO217" i="1"/>
  <c r="AO234" i="1"/>
  <c r="AO338" i="1"/>
  <c r="AT343" i="1"/>
  <c r="AO374" i="1"/>
  <c r="AO382" i="1"/>
  <c r="AO383" i="1"/>
  <c r="AT406" i="1"/>
  <c r="AO431" i="1"/>
  <c r="AO435" i="1"/>
  <c r="AO438" i="1"/>
  <c r="AO457" i="1"/>
  <c r="AT475" i="1"/>
  <c r="AO495" i="1"/>
  <c r="AT500" i="1"/>
  <c r="AT504" i="1"/>
  <c r="AT509" i="1"/>
  <c r="AT518" i="1"/>
  <c r="AT19" i="1"/>
  <c r="AT25" i="1"/>
  <c r="AO25" i="1"/>
  <c r="AO12" i="1"/>
  <c r="AO22" i="1"/>
  <c r="AO42" i="1"/>
  <c r="AO31" i="1"/>
  <c r="AT31" i="1"/>
  <c r="AO38" i="1"/>
  <c r="AT22" i="1"/>
  <c r="AO35" i="1"/>
  <c r="AO40" i="1"/>
  <c r="AN18" i="1"/>
  <c r="AE19" i="1"/>
  <c r="AN21" i="1"/>
  <c r="AT21" i="1" s="1"/>
  <c r="AM24" i="1"/>
  <c r="AN28" i="1"/>
  <c r="AT28" i="1" s="1"/>
  <c r="S32" i="1"/>
  <c r="S35" i="1"/>
  <c r="AE45" i="1"/>
  <c r="AT52" i="1"/>
  <c r="AM61" i="1"/>
  <c r="AN72" i="1"/>
  <c r="AT72" i="1" s="1"/>
  <c r="AN80" i="1"/>
  <c r="AT80" i="1" s="1"/>
  <c r="AT86" i="1"/>
  <c r="AO95" i="1"/>
  <c r="AO114" i="1"/>
  <c r="AO120" i="1"/>
  <c r="AO135" i="1"/>
  <c r="AO153" i="1"/>
  <c r="AT162" i="1"/>
  <c r="AO168" i="1"/>
  <c r="AT180" i="1"/>
  <c r="AO180" i="1"/>
  <c r="AO184" i="1"/>
  <c r="AF195" i="1"/>
  <c r="AI195" i="1"/>
  <c r="AO197" i="1"/>
  <c r="AB205" i="1"/>
  <c r="AN205" i="1"/>
  <c r="AT205" i="1" s="1"/>
  <c r="AI222" i="1"/>
  <c r="AN222" i="1"/>
  <c r="AO222" i="1" s="1"/>
  <c r="AN13" i="1"/>
  <c r="AM14" i="1"/>
  <c r="AO14" i="1" s="1"/>
  <c r="AT27" i="1"/>
  <c r="AN57" i="1"/>
  <c r="AT57" i="1" s="1"/>
  <c r="AN65" i="1"/>
  <c r="AO74" i="1"/>
  <c r="AN75" i="1"/>
  <c r="AO75" i="1" s="1"/>
  <c r="AT76" i="1"/>
  <c r="AO82" i="1"/>
  <c r="AN84" i="1"/>
  <c r="AT87" i="1"/>
  <c r="AO91" i="1"/>
  <c r="AT95" i="1"/>
  <c r="AT98" i="1"/>
  <c r="AO101" i="1"/>
  <c r="AF108" i="1"/>
  <c r="S108" i="1"/>
  <c r="AF111" i="1"/>
  <c r="S111" i="1"/>
  <c r="AT113" i="1"/>
  <c r="AT127" i="1"/>
  <c r="AN134" i="1"/>
  <c r="AT134" i="1" s="1"/>
  <c r="AF150" i="1"/>
  <c r="S150" i="1"/>
  <c r="AN161" i="1"/>
  <c r="AT161" i="1" s="1"/>
  <c r="AO166" i="1"/>
  <c r="AT168" i="1"/>
  <c r="AN183" i="1"/>
  <c r="AT183" i="1" s="1"/>
  <c r="AT184" i="1"/>
  <c r="AI219" i="1"/>
  <c r="AN219" i="1"/>
  <c r="AO219" i="1" s="1"/>
  <c r="AN8" i="1"/>
  <c r="AM13" i="1"/>
  <c r="AF9" i="1"/>
  <c r="AB24" i="1"/>
  <c r="AN30" i="1"/>
  <c r="AN41" i="1"/>
  <c r="AN62" i="1"/>
  <c r="AS527" i="1"/>
  <c r="AT15" i="1"/>
  <c r="AI22" i="1"/>
  <c r="AN23" i="1"/>
  <c r="AO23" i="1" s="1"/>
  <c r="U527" i="1"/>
  <c r="AN26" i="1"/>
  <c r="AN29" i="1"/>
  <c r="AF33" i="1"/>
  <c r="AI35" i="1"/>
  <c r="AN46" i="1"/>
  <c r="AN47" i="1"/>
  <c r="AN48" i="1"/>
  <c r="AN49" i="1"/>
  <c r="AN50" i="1"/>
  <c r="AN56" i="1"/>
  <c r="AT56" i="1" s="1"/>
  <c r="AN59" i="1"/>
  <c r="AN60" i="1"/>
  <c r="AT60" i="1" s="1"/>
  <c r="AT70" i="1"/>
  <c r="AT94" i="1"/>
  <c r="AT103" i="1"/>
  <c r="AT104" i="1"/>
  <c r="AO112" i="1"/>
  <c r="AF116" i="1"/>
  <c r="S116" i="1"/>
  <c r="AO126" i="1"/>
  <c r="AO131" i="1"/>
  <c r="AF141" i="1"/>
  <c r="S141" i="1"/>
  <c r="AF157" i="1"/>
  <c r="S157" i="1"/>
  <c r="AT160" i="1"/>
  <c r="AO162" i="1"/>
  <c r="AF164" i="1"/>
  <c r="S164" i="1"/>
  <c r="AO167" i="1"/>
  <c r="AT199" i="1"/>
  <c r="AA527" i="1"/>
  <c r="AT14" i="1"/>
  <c r="AM45" i="1"/>
  <c r="AN9" i="1"/>
  <c r="AL527" i="1"/>
  <c r="AN11" i="1"/>
  <c r="AB12" i="1"/>
  <c r="AB10" i="1"/>
  <c r="T527" i="1"/>
  <c r="AG527" i="1"/>
  <c r="Z527" i="1"/>
  <c r="S18" i="1"/>
  <c r="S20" i="1"/>
  <c r="AB54" i="1"/>
  <c r="AO71" i="1"/>
  <c r="AT71" i="1"/>
  <c r="AO79" i="1"/>
  <c r="AT79" i="1"/>
  <c r="AO86" i="1"/>
  <c r="AT90" i="1"/>
  <c r="AO99" i="1"/>
  <c r="AO102" i="1"/>
  <c r="AM108" i="1"/>
  <c r="AO108" i="1" s="1"/>
  <c r="AN111" i="1"/>
  <c r="AO113" i="1"/>
  <c r="AO117" i="1"/>
  <c r="AN121" i="1"/>
  <c r="AO122" i="1"/>
  <c r="AO124" i="1"/>
  <c r="AT126" i="1"/>
  <c r="AO127" i="1"/>
  <c r="AO129" i="1"/>
  <c r="AN137" i="1"/>
  <c r="AT137" i="1" s="1"/>
  <c r="AN140" i="1"/>
  <c r="AO143" i="1"/>
  <c r="AO145" i="1"/>
  <c r="AO147" i="1"/>
  <c r="AN150" i="1"/>
  <c r="AO159" i="1"/>
  <c r="AN163" i="1"/>
  <c r="AO171" i="1"/>
  <c r="AN176" i="1"/>
  <c r="AT177" i="1"/>
  <c r="AO177" i="1"/>
  <c r="AM195" i="1"/>
  <c r="AI103" i="1"/>
  <c r="AI113" i="1"/>
  <c r="AI118" i="1"/>
  <c r="AI125" i="1"/>
  <c r="AI127" i="1"/>
  <c r="AI130" i="1"/>
  <c r="AI131" i="1"/>
  <c r="AI138" i="1"/>
  <c r="AB141" i="1"/>
  <c r="AI143" i="1"/>
  <c r="AI145" i="1"/>
  <c r="AI146" i="1"/>
  <c r="AI147" i="1"/>
  <c r="AI151" i="1"/>
  <c r="AI160" i="1"/>
  <c r="AI162" i="1"/>
  <c r="AI167" i="1"/>
  <c r="AI171" i="1"/>
  <c r="AN204" i="1"/>
  <c r="AO204" i="1" s="1"/>
  <c r="AF218" i="1"/>
  <c r="S218" i="1"/>
  <c r="AF220" i="1"/>
  <c r="AF221" i="1"/>
  <c r="S221" i="1"/>
  <c r="AF223" i="1"/>
  <c r="S223" i="1"/>
  <c r="AN228" i="1"/>
  <c r="AN231" i="1"/>
  <c r="AT240" i="1"/>
  <c r="AO240" i="1"/>
  <c r="AO243" i="1"/>
  <c r="AO246" i="1"/>
  <c r="AO249" i="1"/>
  <c r="AT254" i="1"/>
  <c r="AO255" i="1"/>
  <c r="AT255" i="1"/>
  <c r="AT230" i="1"/>
  <c r="AO245" i="1"/>
  <c r="AT256" i="1"/>
  <c r="AN83" i="1"/>
  <c r="AN88" i="1"/>
  <c r="AO88" i="1" s="1"/>
  <c r="AN109" i="1"/>
  <c r="AN119" i="1"/>
  <c r="AN132" i="1"/>
  <c r="AO132" i="1" s="1"/>
  <c r="AN136" i="1"/>
  <c r="AN139" i="1"/>
  <c r="AN142" i="1"/>
  <c r="AN148" i="1"/>
  <c r="AN149" i="1"/>
  <c r="AN152" i="1"/>
  <c r="AO152" i="1" s="1"/>
  <c r="AN156" i="1"/>
  <c r="AO156" i="1" s="1"/>
  <c r="AN172" i="1"/>
  <c r="AN175" i="1"/>
  <c r="AN181" i="1"/>
  <c r="AN182" i="1"/>
  <c r="AO214" i="1"/>
  <c r="AF219" i="1"/>
  <c r="S219" i="1"/>
  <c r="AF222" i="1"/>
  <c r="S222" i="1"/>
  <c r="AF231" i="1"/>
  <c r="S231" i="1"/>
  <c r="AO237" i="1"/>
  <c r="AT246" i="1"/>
  <c r="S65" i="1"/>
  <c r="AB178" i="1"/>
  <c r="AN186" i="1"/>
  <c r="AO186" i="1" s="1"/>
  <c r="S187" i="1"/>
  <c r="S190" i="1"/>
  <c r="AN195" i="1"/>
  <c r="AB195" i="1"/>
  <c r="AO199" i="1"/>
  <c r="AO201" i="1"/>
  <c r="AO207" i="1"/>
  <c r="AO212" i="1"/>
  <c r="AO230" i="1"/>
  <c r="AO233" i="1"/>
  <c r="AT238" i="1"/>
  <c r="AO239" i="1"/>
  <c r="AO242" i="1"/>
  <c r="AO256" i="1"/>
  <c r="AO268" i="1"/>
  <c r="AT268" i="1"/>
  <c r="AO269" i="1"/>
  <c r="AI199" i="1"/>
  <c r="AI201" i="1"/>
  <c r="S203" i="1"/>
  <c r="AT203" i="1" s="1"/>
  <c r="AI207" i="1"/>
  <c r="AI211" i="1"/>
  <c r="AI212" i="1"/>
  <c r="AI217" i="1"/>
  <c r="AI225" i="1"/>
  <c r="AT226" i="1"/>
  <c r="S229" i="1"/>
  <c r="AI230" i="1"/>
  <c r="AI233" i="1"/>
  <c r="AT234" i="1"/>
  <c r="S237" i="1"/>
  <c r="AI238" i="1"/>
  <c r="AT239" i="1"/>
  <c r="AI241" i="1"/>
  <c r="AT242" i="1"/>
  <c r="S245" i="1"/>
  <c r="AI246" i="1"/>
  <c r="AN248" i="1"/>
  <c r="AI249" i="1"/>
  <c r="AN251" i="1"/>
  <c r="AO251" i="1" s="1"/>
  <c r="AN253" i="1"/>
  <c r="AI254" i="1"/>
  <c r="AI256" i="1"/>
  <c r="AO258" i="1"/>
  <c r="AN260" i="1"/>
  <c r="AT260" i="1" s="1"/>
  <c r="AN264" i="1"/>
  <c r="AO284" i="1"/>
  <c r="AO287" i="1"/>
  <c r="AO292" i="1"/>
  <c r="AO295" i="1"/>
  <c r="AO300" i="1"/>
  <c r="AO304" i="1"/>
  <c r="AO307" i="1"/>
  <c r="AO310" i="1"/>
  <c r="AO313" i="1"/>
  <c r="AO315" i="1"/>
  <c r="AO324" i="1"/>
  <c r="AO325" i="1"/>
  <c r="AO331" i="1"/>
  <c r="AO341" i="1"/>
  <c r="S247" i="1"/>
  <c r="S257" i="1"/>
  <c r="AT258" i="1"/>
  <c r="AO286" i="1"/>
  <c r="AO289" i="1"/>
  <c r="AO294" i="1"/>
  <c r="AO298" i="1"/>
  <c r="AT299" i="1"/>
  <c r="AT300" i="1"/>
  <c r="AT304" i="1"/>
  <c r="AO314" i="1"/>
  <c r="AO330" i="1"/>
  <c r="AO334" i="1"/>
  <c r="AN236" i="1"/>
  <c r="AT236" i="1" s="1"/>
  <c r="AN244" i="1"/>
  <c r="AN247" i="1"/>
  <c r="AN252" i="1"/>
  <c r="AT252" i="1" s="1"/>
  <c r="AN257" i="1"/>
  <c r="AN267" i="1"/>
  <c r="AN273" i="1"/>
  <c r="AO280" i="1"/>
  <c r="AO288" i="1"/>
  <c r="AO296" i="1"/>
  <c r="AO301" i="1"/>
  <c r="AO302" i="1"/>
  <c r="AO305" i="1"/>
  <c r="AO308" i="1"/>
  <c r="AO309" i="1"/>
  <c r="AT310" i="1"/>
  <c r="AO311" i="1"/>
  <c r="AO323" i="1"/>
  <c r="AO332" i="1"/>
  <c r="AO347" i="1"/>
  <c r="AF269" i="1"/>
  <c r="S269" i="1"/>
  <c r="AO279" i="1"/>
  <c r="AT302" i="1"/>
  <c r="AO322" i="1"/>
  <c r="AO326" i="1"/>
  <c r="AN261" i="1"/>
  <c r="AN266" i="1"/>
  <c r="AN270" i="1"/>
  <c r="AT274" i="1"/>
  <c r="AN277" i="1"/>
  <c r="AO277" i="1" s="1"/>
  <c r="S279" i="1"/>
  <c r="AI280" i="1"/>
  <c r="AN282" i="1"/>
  <c r="AO282" i="1" s="1"/>
  <c r="AI283" i="1"/>
  <c r="AT284" i="1"/>
  <c r="AI286" i="1"/>
  <c r="AI287" i="1"/>
  <c r="AT288" i="1"/>
  <c r="AI289" i="1"/>
  <c r="AI291" i="1"/>
  <c r="AT292" i="1"/>
  <c r="AI293" i="1"/>
  <c r="AT294" i="1"/>
  <c r="AI295" i="1"/>
  <c r="AT296" i="1"/>
  <c r="AI299" i="1"/>
  <c r="AN306" i="1"/>
  <c r="AO306" i="1" s="1"/>
  <c r="AI307" i="1"/>
  <c r="AT308" i="1"/>
  <c r="AI310" i="1"/>
  <c r="AN312" i="1"/>
  <c r="AB313" i="1"/>
  <c r="AI314" i="1"/>
  <c r="AN319" i="1"/>
  <c r="AN320" i="1"/>
  <c r="AI325" i="1"/>
  <c r="AN328" i="1"/>
  <c r="AT330" i="1"/>
  <c r="AI331" i="1"/>
  <c r="AT332" i="1"/>
  <c r="AN333" i="1"/>
  <c r="AI334" i="1"/>
  <c r="AT337" i="1"/>
  <c r="AI338" i="1"/>
  <c r="AN340" i="1"/>
  <c r="AI341" i="1"/>
  <c r="AN342" i="1"/>
  <c r="AO354" i="1"/>
  <c r="AO362" i="1"/>
  <c r="S281" i="1"/>
  <c r="AT298" i="1"/>
  <c r="AT301" i="1"/>
  <c r="AT305" i="1"/>
  <c r="AT309" i="1"/>
  <c r="S311" i="1"/>
  <c r="AF329" i="1"/>
  <c r="AF342" i="1"/>
  <c r="S342" i="1"/>
  <c r="AT347" i="1"/>
  <c r="AN349" i="1"/>
  <c r="AO349" i="1" s="1"/>
  <c r="AN353" i="1"/>
  <c r="AO353" i="1" s="1"/>
  <c r="AT355" i="1"/>
  <c r="AO359" i="1"/>
  <c r="AO366" i="1"/>
  <c r="AN276" i="1"/>
  <c r="AT276" i="1" s="1"/>
  <c r="AN278" i="1"/>
  <c r="AT278" i="1" s="1"/>
  <c r="AT280" i="1"/>
  <c r="AN281" i="1"/>
  <c r="AT283" i="1"/>
  <c r="AT289" i="1"/>
  <c r="AT291" i="1"/>
  <c r="AT293" i="1"/>
  <c r="AT295" i="1"/>
  <c r="S307" i="1"/>
  <c r="AT315" i="1"/>
  <c r="S318" i="1"/>
  <c r="AT331" i="1"/>
  <c r="S334" i="1"/>
  <c r="AT338" i="1"/>
  <c r="S341" i="1"/>
  <c r="AO346" i="1"/>
  <c r="AO358" i="1"/>
  <c r="AO365" i="1"/>
  <c r="AO367" i="1"/>
  <c r="AO356" i="1"/>
  <c r="AO360" i="1"/>
  <c r="AT350" i="1"/>
  <c r="AT352" i="1"/>
  <c r="AT354" i="1"/>
  <c r="AT356" i="1"/>
  <c r="AT358" i="1"/>
  <c r="AI359" i="1"/>
  <c r="AT360" i="1"/>
  <c r="AI361" i="1"/>
  <c r="AT362" i="1"/>
  <c r="AI363" i="1"/>
  <c r="AI366" i="1"/>
  <c r="AB369" i="1"/>
  <c r="AT369" i="1"/>
  <c r="AN371" i="1"/>
  <c r="AO387" i="1"/>
  <c r="AO389" i="1"/>
  <c r="AO393" i="1"/>
  <c r="AI400" i="1"/>
  <c r="AN400" i="1"/>
  <c r="AO401" i="1"/>
  <c r="AN409" i="1"/>
  <c r="AT409" i="1" s="1"/>
  <c r="AN416" i="1"/>
  <c r="AI436" i="1"/>
  <c r="AN436" i="1"/>
  <c r="S367" i="1"/>
  <c r="AI376" i="1"/>
  <c r="AN376" i="1"/>
  <c r="AO376" i="1" s="1"/>
  <c r="AI378" i="1"/>
  <c r="AN378" i="1"/>
  <c r="AT378" i="1" s="1"/>
  <c r="AI398" i="1"/>
  <c r="AN398" i="1"/>
  <c r="AF414" i="1"/>
  <c r="S414" i="1"/>
  <c r="AO420" i="1"/>
  <c r="AT359" i="1"/>
  <c r="AT361" i="1"/>
  <c r="AT363" i="1"/>
  <c r="S366" i="1"/>
  <c r="S370" i="1"/>
  <c r="AT370" i="1" s="1"/>
  <c r="AO370" i="1"/>
  <c r="AF371" i="1"/>
  <c r="S371" i="1"/>
  <c r="AO372" i="1"/>
  <c r="AF376" i="1"/>
  <c r="S376" i="1"/>
  <c r="AI396" i="1"/>
  <c r="AN396" i="1"/>
  <c r="AO397" i="1"/>
  <c r="AI404" i="1"/>
  <c r="AN404" i="1"/>
  <c r="AO404" i="1" s="1"/>
  <c r="AI415" i="1"/>
  <c r="AN415" i="1"/>
  <c r="AO415" i="1" s="1"/>
  <c r="AF416" i="1"/>
  <c r="S416" i="1"/>
  <c r="AT422" i="1"/>
  <c r="AB434" i="1"/>
  <c r="AN434" i="1"/>
  <c r="AO434" i="1" s="1"/>
  <c r="AT372" i="1"/>
  <c r="AO373" i="1"/>
  <c r="AT385" i="1"/>
  <c r="AI388" i="1"/>
  <c r="AN388" i="1"/>
  <c r="AT388" i="1" s="1"/>
  <c r="AI390" i="1"/>
  <c r="AN390" i="1"/>
  <c r="AT390" i="1" s="1"/>
  <c r="AI392" i="1"/>
  <c r="AN392" i="1"/>
  <c r="AT392" i="1" s="1"/>
  <c r="AI394" i="1"/>
  <c r="AN394" i="1"/>
  <c r="AO394" i="1" s="1"/>
  <c r="AO395" i="1"/>
  <c r="AI402" i="1"/>
  <c r="AN402" i="1"/>
  <c r="AO403" i="1"/>
  <c r="AT408" i="1"/>
  <c r="AO408" i="1"/>
  <c r="S443" i="1"/>
  <c r="AF443" i="1"/>
  <c r="AO405" i="1"/>
  <c r="AN407" i="1"/>
  <c r="AN413" i="1"/>
  <c r="AN419" i="1"/>
  <c r="AO424" i="1"/>
  <c r="AN425" i="1"/>
  <c r="AT425" i="1" s="1"/>
  <c r="AO427" i="1"/>
  <c r="AI484" i="1"/>
  <c r="AN484" i="1"/>
  <c r="AI491" i="1"/>
  <c r="AN491" i="1"/>
  <c r="AO491" i="1" s="1"/>
  <c r="AT387" i="1"/>
  <c r="AT389" i="1"/>
  <c r="AT393" i="1"/>
  <c r="AT395" i="1"/>
  <c r="AT397" i="1"/>
  <c r="AT401" i="1"/>
  <c r="AT403" i="1"/>
  <c r="AO422" i="1"/>
  <c r="AO432" i="1"/>
  <c r="AO441" i="1"/>
  <c r="AO443" i="1"/>
  <c r="AO449" i="1"/>
  <c r="AO460" i="1"/>
  <c r="S472" i="1"/>
  <c r="AF472" i="1"/>
  <c r="AB483" i="1"/>
  <c r="AM483" i="1"/>
  <c r="AO488" i="1"/>
  <c r="AO524" i="1"/>
  <c r="AO444" i="1"/>
  <c r="AF449" i="1"/>
  <c r="S449" i="1"/>
  <c r="AI464" i="1"/>
  <c r="AN464" i="1"/>
  <c r="AT466" i="1"/>
  <c r="AO473" i="1"/>
  <c r="AT380" i="1"/>
  <c r="AT386" i="1"/>
  <c r="AO406" i="1"/>
  <c r="AN430" i="1"/>
  <c r="AT432" i="1"/>
  <c r="AT433" i="1"/>
  <c r="AN437" i="1"/>
  <c r="AI480" i="1"/>
  <c r="AN480" i="1"/>
  <c r="AO480" i="1" s="1"/>
  <c r="AF446" i="1"/>
  <c r="S446" i="1"/>
  <c r="AO452" i="1"/>
  <c r="S458" i="1"/>
  <c r="AN462" i="1"/>
  <c r="AT476" i="1"/>
  <c r="AO479" i="1"/>
  <c r="AF484" i="1"/>
  <c r="S484" i="1"/>
  <c r="AO486" i="1"/>
  <c r="AB494" i="1"/>
  <c r="AN494" i="1"/>
  <c r="AO447" i="1"/>
  <c r="AF448" i="1"/>
  <c r="S448" i="1"/>
  <c r="AN448" i="1"/>
  <c r="AO448" i="1" s="1"/>
  <c r="AF451" i="1"/>
  <c r="S451" i="1"/>
  <c r="AN456" i="1"/>
  <c r="AT456" i="1" s="1"/>
  <c r="AT490" i="1"/>
  <c r="AB443" i="1"/>
  <c r="AT452" i="1"/>
  <c r="AO455" i="1"/>
  <c r="AT460" i="1"/>
  <c r="AO466" i="1"/>
  <c r="AN477" i="1"/>
  <c r="AE483" i="1"/>
  <c r="AT486" i="1"/>
  <c r="AI502" i="1"/>
  <c r="AN502" i="1"/>
  <c r="AO502" i="1" s="1"/>
  <c r="AF505" i="1"/>
  <c r="S505" i="1"/>
  <c r="AB516" i="1"/>
  <c r="AN516" i="1"/>
  <c r="AO516" i="1" s="1"/>
  <c r="S461" i="1"/>
  <c r="AT473" i="1"/>
  <c r="AT478" i="1"/>
  <c r="AT493" i="1"/>
  <c r="AO504" i="1"/>
  <c r="AO506" i="1"/>
  <c r="AT467" i="1"/>
  <c r="AT470" i="1"/>
  <c r="AF497" i="1"/>
  <c r="S497" i="1"/>
  <c r="AN498" i="1"/>
  <c r="AT498" i="1" s="1"/>
  <c r="AO500" i="1"/>
  <c r="AM505" i="1"/>
  <c r="AO505" i="1" s="1"/>
  <c r="AN517" i="1"/>
  <c r="AO522" i="1"/>
  <c r="AO512" i="1"/>
  <c r="AT519" i="1"/>
  <c r="AO523" i="1"/>
  <c r="AT524" i="1"/>
  <c r="S501" i="1"/>
  <c r="S506" i="1"/>
  <c r="AN515" i="1"/>
  <c r="AT526" i="1"/>
  <c r="AN501" i="1"/>
  <c r="AN507" i="1"/>
  <c r="AT507" i="1" s="1"/>
  <c r="AN513" i="1"/>
  <c r="AT513" i="1" s="1"/>
  <c r="AN514" i="1"/>
  <c r="AO510" i="1"/>
  <c r="AO518" i="1"/>
  <c r="AO526" i="1"/>
  <c r="AT123" i="1" l="1"/>
  <c r="AO454" i="1"/>
  <c r="AO213" i="1"/>
  <c r="AT272" i="1"/>
  <c r="AO107" i="1"/>
  <c r="AO66" i="1"/>
  <c r="AT24" i="1"/>
  <c r="AT485" i="1"/>
  <c r="AO381" i="1"/>
  <c r="AT327" i="1"/>
  <c r="AT193" i="1"/>
  <c r="AO196" i="1"/>
  <c r="AT170" i="1"/>
  <c r="AT208" i="1"/>
  <c r="AO262" i="1"/>
  <c r="AT191" i="1"/>
  <c r="AT216" i="1"/>
  <c r="AO61" i="1"/>
  <c r="AT45" i="1"/>
  <c r="AT259" i="1"/>
  <c r="AO188" i="1"/>
  <c r="AO24" i="1"/>
  <c r="AT110" i="1"/>
  <c r="AT61" i="1"/>
  <c r="AT411" i="1"/>
  <c r="AT155" i="1"/>
  <c r="AT73" i="1"/>
  <c r="AT508" i="1"/>
  <c r="AT423" i="1"/>
  <c r="AT303" i="1"/>
  <c r="AO45" i="1"/>
  <c r="AO492" i="1"/>
  <c r="AO194" i="1"/>
  <c r="AT329" i="1"/>
  <c r="AO471" i="1"/>
  <c r="AT391" i="1"/>
  <c r="AO377" i="1"/>
  <c r="AO224" i="1"/>
  <c r="AT69" i="1"/>
  <c r="AT428" i="1"/>
  <c r="AT344" i="1"/>
  <c r="AT209" i="1"/>
  <c r="AO511" i="1"/>
  <c r="AO378" i="1"/>
  <c r="AO426" i="1"/>
  <c r="AO357" i="1"/>
  <c r="AT174" i="1"/>
  <c r="AT189" i="1"/>
  <c r="AT418" i="1"/>
  <c r="AT345" i="1"/>
  <c r="AT68" i="1"/>
  <c r="AT429" i="1"/>
  <c r="AT206" i="1"/>
  <c r="AT58" i="1"/>
  <c r="AT54" i="1"/>
  <c r="AO85" i="1"/>
  <c r="AT521" i="1"/>
  <c r="AT481" i="1"/>
  <c r="AT463" i="1"/>
  <c r="AT442" i="1"/>
  <c r="AT399" i="1"/>
  <c r="AO409" i="1"/>
  <c r="AO364" i="1"/>
  <c r="AT439" i="1"/>
  <c r="AT520" i="1"/>
  <c r="AT198" i="1"/>
  <c r="AT465" i="1"/>
  <c r="AO388" i="1"/>
  <c r="AT251" i="1"/>
  <c r="AT316" i="1"/>
  <c r="AT271" i="1"/>
  <c r="AT450" i="1"/>
  <c r="AT430" i="1"/>
  <c r="AO417" i="1"/>
  <c r="AT394" i="1"/>
  <c r="AT232" i="1"/>
  <c r="AO250" i="1"/>
  <c r="AO144" i="1"/>
  <c r="AT496" i="1"/>
  <c r="AT235" i="1"/>
  <c r="AT227" i="1"/>
  <c r="S527" i="1"/>
  <c r="AO205" i="1"/>
  <c r="AT179" i="1"/>
  <c r="AT128" i="1"/>
  <c r="AO39" i="1"/>
  <c r="AT379" i="1"/>
  <c r="AT81" i="1"/>
  <c r="AO421" i="1"/>
  <c r="AO351" i="1"/>
  <c r="AO348" i="1"/>
  <c r="AO453" i="1"/>
  <c r="AO489" i="1"/>
  <c r="AO412" i="1"/>
  <c r="AT321" i="1"/>
  <c r="AO290" i="1"/>
  <c r="AO165" i="1"/>
  <c r="AT215" i="1"/>
  <c r="AT483" i="1"/>
  <c r="AO487" i="1"/>
  <c r="AO483" i="1"/>
  <c r="AO173" i="1"/>
  <c r="AO375" i="1"/>
  <c r="AT50" i="1"/>
  <c r="AE527" i="1"/>
  <c r="AT62" i="1"/>
  <c r="AT494" i="1"/>
  <c r="AT502" i="1"/>
  <c r="AO462" i="1"/>
  <c r="AO396" i="1"/>
  <c r="AT402" i="1"/>
  <c r="AT396" i="1"/>
  <c r="AF527" i="1"/>
  <c r="AT480" i="1"/>
  <c r="AO398" i="1"/>
  <c r="AO416" i="1"/>
  <c r="AT398" i="1"/>
  <c r="AT320" i="1"/>
  <c r="AT148" i="1"/>
  <c r="AO402" i="1"/>
  <c r="AO437" i="1"/>
  <c r="AT353" i="1"/>
  <c r="AT253" i="1"/>
  <c r="AT48" i="1"/>
  <c r="AB527" i="1"/>
  <c r="AT46" i="1"/>
  <c r="AT26" i="1"/>
  <c r="AO507" i="1"/>
  <c r="AO494" i="1"/>
  <c r="AO484" i="1"/>
  <c r="AO464" i="1"/>
  <c r="AT484" i="1"/>
  <c r="AT464" i="1"/>
  <c r="AT449" i="1"/>
  <c r="AT477" i="1"/>
  <c r="AT437" i="1"/>
  <c r="AO413" i="1"/>
  <c r="AO400" i="1"/>
  <c r="AO430" i="1"/>
  <c r="AT416" i="1"/>
  <c r="AT413" i="1"/>
  <c r="AO392" i="1"/>
  <c r="AO371" i="1"/>
  <c r="AT307" i="1"/>
  <c r="AO276" i="1"/>
  <c r="AT340" i="1"/>
  <c r="AT319" i="1"/>
  <c r="AO266" i="1"/>
  <c r="AO333" i="1"/>
  <c r="AO236" i="1"/>
  <c r="AT267" i="1"/>
  <c r="AT273" i="1"/>
  <c r="AO260" i="1"/>
  <c r="AT237" i="1"/>
  <c r="AT190" i="1"/>
  <c r="AT65" i="1"/>
  <c r="AT195" i="1"/>
  <c r="AT175" i="1"/>
  <c r="AT156" i="1"/>
  <c r="AT139" i="1"/>
  <c r="AT132" i="1"/>
  <c r="AT83" i="1"/>
  <c r="AO231" i="1"/>
  <c r="AT223" i="1"/>
  <c r="AO195" i="1"/>
  <c r="AO142" i="1"/>
  <c r="AO111" i="1"/>
  <c r="AO83" i="1"/>
  <c r="AO149" i="1"/>
  <c r="AT141" i="1"/>
  <c r="AT109" i="1"/>
  <c r="AT49" i="1"/>
  <c r="AT47" i="1"/>
  <c r="AT41" i="1"/>
  <c r="AO13" i="1"/>
  <c r="AO183" i="1"/>
  <c r="AO139" i="1"/>
  <c r="AO84" i="1"/>
  <c r="AT84" i="1"/>
  <c r="AO65" i="1"/>
  <c r="AT13" i="1"/>
  <c r="AO121" i="1"/>
  <c r="AT30" i="1"/>
  <c r="AO18" i="1"/>
  <c r="AO48" i="1"/>
  <c r="AO46" i="1"/>
  <c r="AO50" i="1"/>
  <c r="AO62" i="1"/>
  <c r="AO514" i="1"/>
  <c r="AT514" i="1"/>
  <c r="AO498" i="1"/>
  <c r="AT461" i="1"/>
  <c r="AO477" i="1"/>
  <c r="AO456" i="1"/>
  <c r="AT458" i="1"/>
  <c r="AT446" i="1"/>
  <c r="AT491" i="1"/>
  <c r="AT462" i="1"/>
  <c r="AO436" i="1"/>
  <c r="AO425" i="1"/>
  <c r="AT443" i="1"/>
  <c r="AT415" i="1"/>
  <c r="AT404" i="1"/>
  <c r="AT371" i="1"/>
  <c r="AT366" i="1"/>
  <c r="AO390" i="1"/>
  <c r="AT367" i="1"/>
  <c r="AT436" i="1"/>
  <c r="AT400" i="1"/>
  <c r="AT334" i="1"/>
  <c r="AO281" i="1"/>
  <c r="AT349" i="1"/>
  <c r="AT281" i="1"/>
  <c r="AO342" i="1"/>
  <c r="AT312" i="1"/>
  <c r="AT306" i="1"/>
  <c r="AT279" i="1"/>
  <c r="AT270" i="1"/>
  <c r="AT333" i="1"/>
  <c r="AO261" i="1"/>
  <c r="AO340" i="1"/>
  <c r="AO247" i="1"/>
  <c r="AO267" i="1"/>
  <c r="AT247" i="1"/>
  <c r="AT245" i="1"/>
  <c r="AT229" i="1"/>
  <c r="AT187" i="1"/>
  <c r="AO253" i="1"/>
  <c r="AT231" i="1"/>
  <c r="AT152" i="1"/>
  <c r="AO182" i="1"/>
  <c r="AO140" i="1"/>
  <c r="AT20" i="1"/>
  <c r="AM527" i="1"/>
  <c r="AT157" i="1"/>
  <c r="AT29" i="1"/>
  <c r="AN527" i="1"/>
  <c r="AT182" i="1"/>
  <c r="AT150" i="1"/>
  <c r="AT108" i="1"/>
  <c r="AT75" i="1"/>
  <c r="AO172" i="1"/>
  <c r="AO80" i="1"/>
  <c r="AT35" i="1"/>
  <c r="AO47" i="1"/>
  <c r="AO41" i="1"/>
  <c r="AO59" i="1"/>
  <c r="AO8" i="1"/>
  <c r="AO60" i="1"/>
  <c r="AT9" i="1"/>
  <c r="AT506" i="1"/>
  <c r="AT497" i="1"/>
  <c r="AT505" i="1"/>
  <c r="AT448" i="1"/>
  <c r="AO419" i="1"/>
  <c r="AO407" i="1"/>
  <c r="AT434" i="1"/>
  <c r="AT376" i="1"/>
  <c r="AT414" i="1"/>
  <c r="AT341" i="1"/>
  <c r="AT318" i="1"/>
  <c r="AT342" i="1"/>
  <c r="AT311" i="1"/>
  <c r="AT328" i="1"/>
  <c r="AT277" i="1"/>
  <c r="AT266" i="1"/>
  <c r="AT261" i="1"/>
  <c r="AT269" i="1"/>
  <c r="AO257" i="1"/>
  <c r="AO244" i="1"/>
  <c r="AO328" i="1"/>
  <c r="AO273" i="1"/>
  <c r="AT244" i="1"/>
  <c r="AT186" i="1"/>
  <c r="AT222" i="1"/>
  <c r="AT219" i="1"/>
  <c r="AT172" i="1"/>
  <c r="AT142" i="1"/>
  <c r="AT136" i="1"/>
  <c r="AO228" i="1"/>
  <c r="AT221" i="1"/>
  <c r="AT204" i="1"/>
  <c r="AT228" i="1"/>
  <c r="AT181" i="1"/>
  <c r="AO163" i="1"/>
  <c r="AO150" i="1"/>
  <c r="AO137" i="1"/>
  <c r="AT121" i="1"/>
  <c r="AT18" i="1"/>
  <c r="AT11" i="1"/>
  <c r="AO175" i="1"/>
  <c r="AT163" i="1"/>
  <c r="AO136" i="1"/>
  <c r="AO119" i="1"/>
  <c r="AT111" i="1"/>
  <c r="AO72" i="1"/>
  <c r="AT32" i="1"/>
  <c r="AO28" i="1"/>
  <c r="AO21" i="1"/>
  <c r="AO30" i="1"/>
  <c r="AO9" i="1"/>
  <c r="AO56" i="1"/>
  <c r="AO29" i="1"/>
  <c r="AO11" i="1"/>
  <c r="AO513" i="1"/>
  <c r="AO501" i="1"/>
  <c r="AT515" i="1"/>
  <c r="AT501" i="1"/>
  <c r="AT517" i="1"/>
  <c r="AO517" i="1"/>
  <c r="AT516" i="1"/>
  <c r="AT451" i="1"/>
  <c r="AO515" i="1"/>
  <c r="AT472" i="1"/>
  <c r="AT419" i="1"/>
  <c r="AT407" i="1"/>
  <c r="AO278" i="1"/>
  <c r="AT282" i="1"/>
  <c r="AO320" i="1"/>
  <c r="AO252" i="1"/>
  <c r="AO319" i="1"/>
  <c r="AO312" i="1"/>
  <c r="AO270" i="1"/>
  <c r="AT257" i="1"/>
  <c r="AT264" i="1"/>
  <c r="AO264" i="1"/>
  <c r="AT248" i="1"/>
  <c r="AO248" i="1"/>
  <c r="AT88" i="1"/>
  <c r="AT218" i="1"/>
  <c r="AO176" i="1"/>
  <c r="AT149" i="1"/>
  <c r="AT119" i="1"/>
  <c r="AI527" i="1"/>
  <c r="AT176" i="1"/>
  <c r="AT164" i="1"/>
  <c r="AT116" i="1"/>
  <c r="AT23" i="1"/>
  <c r="AO161" i="1"/>
  <c r="AT140" i="1"/>
  <c r="AO134" i="1"/>
  <c r="AO181" i="1"/>
  <c r="AO148" i="1"/>
  <c r="AO109" i="1"/>
  <c r="AO57" i="1"/>
  <c r="AT59" i="1"/>
  <c r="AO49" i="1"/>
  <c r="AO26" i="1"/>
  <c r="AT8" i="1"/>
  <c r="AT527" i="1" l="1"/>
  <c r="AO527" i="1"/>
</calcChain>
</file>

<file path=xl/comments1.xml><?xml version="1.0" encoding="utf-8"?>
<comments xmlns="http://schemas.openxmlformats.org/spreadsheetml/2006/main">
  <authors>
    <author>Roberto1</author>
    <author>Georgina Chavez</author>
  </authors>
  <commentList>
    <comment ref="AG10" authorId="0">
      <text>
        <r>
          <rPr>
            <b/>
            <sz val="9"/>
            <color indexed="81"/>
            <rFont val="Tahoma"/>
            <family val="2"/>
          </rPr>
          <t>Roberto1:</t>
        </r>
        <r>
          <rPr>
            <sz val="9"/>
            <color indexed="81"/>
            <rFont val="Tahoma"/>
            <family val="2"/>
          </rPr>
          <t xml:space="preserve">
existe convenio de reducción de monto
</t>
        </r>
      </text>
    </comment>
    <comment ref="AI35" authorId="1">
      <text>
        <r>
          <rPr>
            <b/>
            <sz val="9"/>
            <color indexed="81"/>
            <rFont val="Tahoma"/>
            <family val="2"/>
          </rPr>
          <t>Georgina Chavez:</t>
        </r>
        <r>
          <rPr>
            <sz val="9"/>
            <color indexed="81"/>
            <rFont val="Tahoma"/>
            <family val="2"/>
          </rPr>
          <t xml:space="preserve">
Reducción de monto contratado no hay convenio</t>
        </r>
      </text>
    </comment>
    <comment ref="E121" authorId="0">
      <text>
        <r>
          <rPr>
            <b/>
            <sz val="9"/>
            <color indexed="81"/>
            <rFont val="Tahoma"/>
            <family val="2"/>
          </rPr>
          <t>Roberto1:</t>
        </r>
        <r>
          <rPr>
            <sz val="9"/>
            <color indexed="81"/>
            <rFont val="Tahoma"/>
            <family val="2"/>
          </rPr>
          <t xml:space="preserve">
los tramites se deben enviar a la Lic. Guadalupe Ruiz del Rio </t>
        </r>
      </text>
    </comment>
    <comment ref="B123" authorId="0">
      <text>
        <r>
          <rPr>
            <b/>
            <sz val="9"/>
            <color indexed="81"/>
            <rFont val="Tahoma"/>
            <family val="2"/>
          </rPr>
          <t>Roberto1:</t>
        </r>
        <r>
          <rPr>
            <sz val="9"/>
            <color indexed="81"/>
            <rFont val="Tahoma"/>
            <family val="2"/>
          </rPr>
          <t xml:space="preserve">
enviar copia de  los tramites a MDIP Juan Carlos Peniche Payén Coordinador de Desarrollo y Vinculación Interinstitucional en Materia de Seguridad Pública (13/10/2015)</t>
        </r>
      </text>
    </comment>
  </commentList>
</comments>
</file>

<file path=xl/sharedStrings.xml><?xml version="1.0" encoding="utf-8"?>
<sst xmlns="http://schemas.openxmlformats.org/spreadsheetml/2006/main" count="6776" uniqueCount="2117">
  <si>
    <t>SUBSECRETARIA DE INFRAESTRUCTURA DE OBRA</t>
  </si>
  <si>
    <t>DIRECCIÓN ADMINISTRATIVA</t>
  </si>
  <si>
    <t>OBRAS EJERCICIO 2014</t>
  </si>
  <si>
    <t>DIRECCIÓN GENERAL DE CAMINOS Y PUENTES 637</t>
  </si>
  <si>
    <t>CLAVE</t>
  </si>
  <si>
    <t>NO. DE OBRA</t>
  </si>
  <si>
    <t>No. DE OBRA (SEDESOL)</t>
  </si>
  <si>
    <t>CEDULA</t>
  </si>
  <si>
    <t>NOMBRE DE LA OBRA</t>
  </si>
  <si>
    <t>DIPUTADOS</t>
  </si>
  <si>
    <t>NO. CUENTA</t>
  </si>
  <si>
    <t>No. CLASIFICADOR</t>
  </si>
  <si>
    <t>SEDESOL</t>
  </si>
  <si>
    <t>RECURSO</t>
  </si>
  <si>
    <t>PROGRAMA DE INVERSIÓN</t>
  </si>
  <si>
    <r>
      <t xml:space="preserve">PROGRAMA </t>
    </r>
    <r>
      <rPr>
        <b/>
        <sz val="5"/>
        <rFont val="Arial"/>
        <family val="2"/>
      </rPr>
      <t>(APERTURA PROGRAMATICA)</t>
    </r>
  </si>
  <si>
    <t>SUB-PROGRAMA</t>
  </si>
  <si>
    <t>PROYECTO</t>
  </si>
  <si>
    <t>UBICACIÓN</t>
  </si>
  <si>
    <t>MODALIDAD</t>
  </si>
  <si>
    <t>AUTORIZADO</t>
  </si>
  <si>
    <t>OBSERVACIONES</t>
  </si>
  <si>
    <t>GASTOS SEGÚN CONTRATO</t>
  </si>
  <si>
    <t xml:space="preserve">ECONOMIA INDIRECTOS </t>
  </si>
  <si>
    <t>ECONOMIA OBRA</t>
  </si>
  <si>
    <t>OBRA CONTRATADA</t>
  </si>
  <si>
    <t>1 AL MILLAR SEGÚN CONTRATADO</t>
  </si>
  <si>
    <t xml:space="preserve"> </t>
  </si>
  <si>
    <t>EJERCIDO CONTRATO C/IND.Y I AL MILL A.S.G.</t>
  </si>
  <si>
    <t>VTO. PLAZO EJECUCIÓN</t>
  </si>
  <si>
    <t>ANTICIPO</t>
  </si>
  <si>
    <t>SALDO TOTAL DE LA OBRA</t>
  </si>
  <si>
    <t>PENALIZACIONES</t>
  </si>
  <si>
    <t>CANCELACION DE ECONOMIAS</t>
  </si>
  <si>
    <t xml:space="preserve">MUNICIPIO </t>
  </si>
  <si>
    <t>LOCALIDAD</t>
  </si>
  <si>
    <t>TOTAL APROBADO</t>
  </si>
  <si>
    <t>TOTAL APROBADO PARA OBRA</t>
  </si>
  <si>
    <t>TOTAL APROBADO PARA IND.</t>
  </si>
  <si>
    <t xml:space="preserve"> OFICIO DE AUTORIZACION</t>
  </si>
  <si>
    <t xml:space="preserve">FECHA  </t>
  </si>
  <si>
    <t>FECHA LIMITE P/EJERCER</t>
  </si>
  <si>
    <t>GASTOS INDIRECTOS / OPERACIÓN</t>
  </si>
  <si>
    <t>GASTOS EJERCIDOS</t>
  </si>
  <si>
    <t xml:space="preserve">SALDO </t>
  </si>
  <si>
    <t>TIPO DE PAGO</t>
  </si>
  <si>
    <t>FECHA</t>
  </si>
  <si>
    <t>MONTO CONTRATADO</t>
  </si>
  <si>
    <t xml:space="preserve">EJERCIDO </t>
  </si>
  <si>
    <t>1 AL MILLAR PARA LA A.S.G.</t>
  </si>
  <si>
    <t>EJERCIDO 1 AL MILLAR</t>
  </si>
  <si>
    <t>SALDO 1 AL MILLAR</t>
  </si>
  <si>
    <t>CONTRATO C/GTOS.IND.Y I AL MILL A.S.G.</t>
  </si>
  <si>
    <t>SALDO CONTRATO C/IND. Y I AL MILL. A.S.G.</t>
  </si>
  <si>
    <t>MONTO ANTICIPO S/IVA</t>
  </si>
  <si>
    <t>AMORTIZACION</t>
  </si>
  <si>
    <t>SALDO POR AMORTIZAR</t>
  </si>
  <si>
    <t>07-ZU-0071-2014</t>
  </si>
  <si>
    <r>
      <t>Mantenimiento y Reparaciones en el Centro Cultural "La Tallera"</t>
    </r>
    <r>
      <rPr>
        <b/>
        <sz val="6"/>
        <rFont val="Arial"/>
        <family val="2"/>
      </rPr>
      <t xml:space="preserve"> Cancelación de Saldos por $6,387.35 SSIO/DA/389/2015</t>
    </r>
  </si>
  <si>
    <t>Cancelación</t>
  </si>
  <si>
    <t>BANAMEX
70064529526</t>
  </si>
  <si>
    <t>R-33 F-8 FAFEF 2014</t>
  </si>
  <si>
    <t xml:space="preserve">UE.- Sitios Históricos y Culturales </t>
  </si>
  <si>
    <t>03.- Rehabilitación</t>
  </si>
  <si>
    <t xml:space="preserve">21.- Infraestructura Cultural </t>
  </si>
  <si>
    <t>07.- Cuernavaca</t>
  </si>
  <si>
    <t xml:space="preserve">112.- Col. Jardines de Cuernavaca </t>
  </si>
  <si>
    <t>IR-013-2014</t>
  </si>
  <si>
    <r>
      <t xml:space="preserve">SH/0462-2/2014 </t>
    </r>
    <r>
      <rPr>
        <sz val="4"/>
        <rFont val="Arial"/>
        <family val="2"/>
      </rPr>
      <t>SSP/DGPGP/0561-JM/2014
SH-2043-2-2015</t>
    </r>
  </si>
  <si>
    <t>03/04/2014 02/06/2014
09/10/2015</t>
  </si>
  <si>
    <t>2% DE INDIRECTOS</t>
  </si>
  <si>
    <t>90 DIAS</t>
  </si>
  <si>
    <t>08-ZU-0919-2013</t>
  </si>
  <si>
    <r>
      <t>Construcción de Techumbre en Canchas Esc. Prim. Dr. Belisario Domínguez</t>
    </r>
    <r>
      <rPr>
        <b/>
        <sz val="6"/>
        <rFont val="Arial"/>
        <family val="2"/>
      </rPr>
      <t xml:space="preserve"> (se cancela la economía con oficio SSP/DGPGP/0130-JM/2015 05/02/2015)</t>
    </r>
  </si>
  <si>
    <t>PIPE 2013 (Refrendo)</t>
  </si>
  <si>
    <t>SJ.- Infraestructura Educativa</t>
  </si>
  <si>
    <t>02.- Construcción</t>
  </si>
  <si>
    <t xml:space="preserve">18.- Infraestructura Educativa Básica </t>
  </si>
  <si>
    <t>08.- Emiliano Zapata</t>
  </si>
  <si>
    <t>001.- Centro</t>
  </si>
  <si>
    <t>IR-158-2013</t>
  </si>
  <si>
    <t>SSP/0378-JM-2014</t>
  </si>
  <si>
    <t>Honorarios</t>
  </si>
  <si>
    <t>40 DIAS</t>
  </si>
  <si>
    <t>Est. 2 por $122,326.62</t>
  </si>
  <si>
    <t>22-ZR-0918-2013</t>
  </si>
  <si>
    <t>Construcción de Emisor a Planta Tratadora de Aguas Residuales de Tetela del Volcán</t>
  </si>
  <si>
    <t>U5.- Tratamiento de Aguas Residuales</t>
  </si>
  <si>
    <t>16.- Infraestructura Urbana</t>
  </si>
  <si>
    <t>22.- Tetela del Volcán</t>
  </si>
  <si>
    <t>001.- Tetela del Volcán</t>
  </si>
  <si>
    <t>IR-218-2013</t>
  </si>
  <si>
    <t>SSP/0378-JM/2014</t>
  </si>
  <si>
    <t>Proveedor</t>
  </si>
  <si>
    <t>252,641.74 est. 2</t>
  </si>
  <si>
    <t>varios</t>
  </si>
  <si>
    <t>UC.- Carreteras</t>
  </si>
  <si>
    <t>15.- Construcción , Conservación y Mantenimiento de Vialidades y Carreteras</t>
  </si>
  <si>
    <t>99.- Todo el Estado</t>
  </si>
  <si>
    <t>999.- Varias Localidades</t>
  </si>
  <si>
    <t>ADMON</t>
  </si>
  <si>
    <t xml:space="preserve">S/INDIRECTOS </t>
  </si>
  <si>
    <t>Reembolso</t>
  </si>
  <si>
    <t>Agüero</t>
  </si>
  <si>
    <t>11.- Jiutepec</t>
  </si>
  <si>
    <t>45 DIAS</t>
  </si>
  <si>
    <t>25-ZR-0055-2014</t>
  </si>
  <si>
    <t xml:space="preserve">Rehabilitación de Hamaca Huixastla, Tlaquiltenango </t>
  </si>
  <si>
    <t xml:space="preserve">OS.- Obras de Servicio </t>
  </si>
  <si>
    <t>25.- Tlaquiltenango</t>
  </si>
  <si>
    <t>018.- Huixastla</t>
  </si>
  <si>
    <t>AD-011-2014</t>
  </si>
  <si>
    <t>SH/0421-2/2014</t>
  </si>
  <si>
    <t>11-ZR-0931-2013</t>
  </si>
  <si>
    <t xml:space="preserve">Construcción de Módulo de Seguridad en Jiutepec </t>
  </si>
  <si>
    <t>6223
6242</t>
  </si>
  <si>
    <t>PIPE 2014- FONDO 36.- FONDO MORELENSE PARA LA SEGURIDAD PUBLICA MUNICIPAL (FOMSEM) 2013</t>
  </si>
  <si>
    <t xml:space="preserve">JS.- Justicia y Seguridad </t>
  </si>
  <si>
    <t xml:space="preserve">24.- Infraestructura de Seguridad Pública </t>
  </si>
  <si>
    <t>45.- San Lucas</t>
  </si>
  <si>
    <t>AD-148-2013</t>
  </si>
  <si>
    <t>SSP/0310-JM/2014  SSP/0760-JM/2014 SSP/0703-JM/2014</t>
  </si>
  <si>
    <t>21/03/2014 01/07/2014</t>
  </si>
  <si>
    <t>1% INDIRECTOS</t>
  </si>
  <si>
    <t>19-ZR-0932-2013</t>
  </si>
  <si>
    <r>
      <t xml:space="preserve">Construcción del Cuartel para la Policía Acreditable en Tepalcingo </t>
    </r>
    <r>
      <rPr>
        <b/>
        <sz val="6"/>
        <rFont val="Arial"/>
        <family val="2"/>
      </rPr>
      <t xml:space="preserve">Cancelación de saldos por $5,805.98 SSIO/DA/458/2015 </t>
    </r>
  </si>
  <si>
    <t>FONDO 36.- FONDO MORELENSE PARA LA SEGURIDAD PUBLICA MUNICIPAL (FOMSEM) 2013</t>
  </si>
  <si>
    <t>SSP/0760-JM/2014</t>
  </si>
  <si>
    <t>19.- Tepalcingo</t>
  </si>
  <si>
    <t>4.- Tepalcingo</t>
  </si>
  <si>
    <t>AD-150-2013</t>
  </si>
  <si>
    <t>SSP/0306-JM/2014, SSP/0703-JM/2014
SSP/0760-JM/2014
SH-2220-2-2015</t>
  </si>
  <si>
    <t>21/03/2014
01/07/2014
12/11/2015</t>
  </si>
  <si>
    <t>0.65% INDIRECTOS</t>
  </si>
  <si>
    <t>120 DIAS</t>
  </si>
  <si>
    <t>12-ZU-0016-2014</t>
  </si>
  <si>
    <r>
      <t xml:space="preserve">Contratación del Servicio de Diseño y Dimensionamiento a Escala para el Tapete Monumental de la Arena Teques </t>
    </r>
    <r>
      <rPr>
        <b/>
        <sz val="6"/>
        <rFont val="Arial"/>
        <family val="2"/>
      </rPr>
      <t>(se canceló la economía con oficio SSP/0831-JM-2014) (Cancelación de Centavos según Oficio DA/159/2015)</t>
    </r>
  </si>
  <si>
    <t>PIPE 2014</t>
  </si>
  <si>
    <t xml:space="preserve">PE.- Proyectos Especiales </t>
  </si>
  <si>
    <t xml:space="preserve">01.- Estudios y Proyectos </t>
  </si>
  <si>
    <t xml:space="preserve"> 17.- tramitar y dar seguimiento a los proyectos ejecutivos a obras para su autorización </t>
  </si>
  <si>
    <t>12.- Jojutla</t>
  </si>
  <si>
    <t>02.- Jojutla de Juárez Centro</t>
  </si>
  <si>
    <t>IR-005-2014</t>
  </si>
  <si>
    <t>SSP/0296-JM/2014  SSP/DGPGP/0561-JM/2014  SSP/0760-JM/2014</t>
  </si>
  <si>
    <t>20/03/2014 02/06/2014 14/07/2014</t>
  </si>
  <si>
    <t>30 DIAS</t>
  </si>
  <si>
    <t>07-ZU-0014-2014</t>
  </si>
  <si>
    <t>Remodelación del Organo Laboral de la Junta Local de Conciliación y Arbitraje</t>
  </si>
  <si>
    <t>01.- Cuernavaca Centro</t>
  </si>
  <si>
    <t>IR-094-2014</t>
  </si>
  <si>
    <t>SSP/0279-JM/2014 SSP/0760-JM/2014</t>
  </si>
  <si>
    <t>RECURSOS PROPIOS</t>
  </si>
  <si>
    <r>
      <t xml:space="preserve">Electrificación del área de ginecología, pediatría, cirugía y medicina interna del Hospital General de Jojutla </t>
    </r>
    <r>
      <rPr>
        <b/>
        <sz val="6"/>
        <rFont val="Arial"/>
        <family val="2"/>
      </rPr>
      <t xml:space="preserve">Cancelación de Saldos por $2,298.47 SSIO/DA/387/2015 </t>
    </r>
  </si>
  <si>
    <t xml:space="preserve">Recursos Propios de Salud </t>
  </si>
  <si>
    <t xml:space="preserve">SN.- Infraestructura de Salud </t>
  </si>
  <si>
    <t>002.- Jojutla de Juárez Centro</t>
  </si>
  <si>
    <t>AD-047-2014</t>
  </si>
  <si>
    <t>07-ZU-0073-2014</t>
  </si>
  <si>
    <r>
      <t xml:space="preserve">Trabajos de Pintura en las Instalaciones de la Subsecretaría de Obras Públicas del Gobierno del Estado </t>
    </r>
    <r>
      <rPr>
        <b/>
        <sz val="6"/>
        <rFont val="Arial"/>
        <family val="2"/>
      </rPr>
      <t>Cancelación de Saldos por $1,302.16 SSIO/DA/388/2015</t>
    </r>
  </si>
  <si>
    <t xml:space="preserve">23.- Infraestructura de Edificación Institucional </t>
  </si>
  <si>
    <t>02.- Col. Chamilpa</t>
  </si>
  <si>
    <t>AD-009-2014</t>
  </si>
  <si>
    <t>SH/0461-2/2014
 SSP/0760-JM/2014
SH-2043-2-2015</t>
  </si>
  <si>
    <t>03/04/2014
09/10/2015</t>
  </si>
  <si>
    <t>3% DE INDIRECTOS</t>
  </si>
  <si>
    <t>20 DIAS</t>
  </si>
  <si>
    <t>28.- Xochitepec</t>
  </si>
  <si>
    <t>C</t>
  </si>
  <si>
    <t>PENDIENTE</t>
  </si>
  <si>
    <t>12-ZR-0010-2014</t>
  </si>
  <si>
    <r>
      <t xml:space="preserve">Rehabilitación de Hamaca Rio Seco, Tehuixtla </t>
    </r>
    <r>
      <rPr>
        <b/>
        <sz val="6"/>
        <rFont val="Arial"/>
        <family val="2"/>
      </rPr>
      <t>Cancelación de Saldos por $482.38 SSIO/DA/389/2015</t>
    </r>
  </si>
  <si>
    <t>008.- Tehuixtla</t>
  </si>
  <si>
    <t>IR-014-2014</t>
  </si>
  <si>
    <t>SSP/0272-JM-2014            SSP/0760-JM/2014
SH-2043-2-2015</t>
  </si>
  <si>
    <t>18/03/2014 14/07/2014
09/10/2015</t>
  </si>
  <si>
    <t>01-ZR-0011-2014</t>
  </si>
  <si>
    <r>
      <t xml:space="preserve">Rehabilitación de Hamaca Huajintlán </t>
    </r>
    <r>
      <rPr>
        <b/>
        <sz val="6"/>
        <rFont val="Arial"/>
        <family val="2"/>
      </rPr>
      <t xml:space="preserve">Cancelación de Saldos por $1,587.60 SSIO/DA/389/2015 </t>
    </r>
  </si>
  <si>
    <t>01.- Amacuzac</t>
  </si>
  <si>
    <t xml:space="preserve">008.- Huajintlán </t>
  </si>
  <si>
    <t>AD-010-2014</t>
  </si>
  <si>
    <t>01-ZU-0012-2014</t>
  </si>
  <si>
    <r>
      <t>Rehabilitación de Hamaca Panteón</t>
    </r>
    <r>
      <rPr>
        <b/>
        <sz val="6"/>
        <rFont val="Arial"/>
        <family val="2"/>
      </rPr>
      <t xml:space="preserve"> Cancelación de Saldos por $5,070.78 SSIO/DA/389/2015</t>
    </r>
  </si>
  <si>
    <t>001.- Amacuzac</t>
  </si>
  <si>
    <t>AD-012-2014</t>
  </si>
  <si>
    <t>S/N</t>
  </si>
  <si>
    <t>Conclusión de la Rehabilitación de Mamparas, Cancelería y Puertas para Dormitorios en la Normal Rural Gral. Emiliano Zapata de Amilcingo.</t>
  </si>
  <si>
    <t>BANAMEX
70046687955</t>
  </si>
  <si>
    <t>sin clasificador</t>
  </si>
  <si>
    <t>RAMO 33 FAM BASICO 2011</t>
  </si>
  <si>
    <t>33.- Temoac</t>
  </si>
  <si>
    <t>004.- Amilcingo</t>
  </si>
  <si>
    <t>AD-014-2014</t>
  </si>
  <si>
    <t>SSP/0308-JM/2014
SSP/503-JM/2014</t>
  </si>
  <si>
    <t>21/03/2014
15/05/2014</t>
  </si>
  <si>
    <t>RAMO 33 FAM BASICO 2012</t>
  </si>
  <si>
    <t>RAMO 33 FAM BASICO 2010 (Rend. Financieros 2012)</t>
  </si>
  <si>
    <t>11-ZR-0072-2014</t>
  </si>
  <si>
    <r>
      <t xml:space="preserve">2da. Etapa de Construcción de Centro de Salud, Localidad Vista Hermosa, Jiutepec. </t>
    </r>
    <r>
      <rPr>
        <b/>
        <sz val="6"/>
        <rFont val="Arial"/>
        <family val="2"/>
      </rPr>
      <t xml:space="preserve">Cancelación de Saldos por $166.19 SSIO/DA/389/2015 </t>
    </r>
  </si>
  <si>
    <t xml:space="preserve">SO.- Centros de Salud </t>
  </si>
  <si>
    <t>25.- Infraestructura de salud</t>
  </si>
  <si>
    <t xml:space="preserve">12.- 012.- Vista Hermosa </t>
  </si>
  <si>
    <t>IR-007-2014</t>
  </si>
  <si>
    <t>SH/0462-2/2014    SSP/0760-JM/2014   SH/2346-2/2014
SH-2043-2-2015</t>
  </si>
  <si>
    <t>03/04/2014  14/07/2014 31-12-2014
09/10/2015</t>
  </si>
  <si>
    <t>60 DIAS</t>
  </si>
  <si>
    <t>31.- Zacatepec</t>
  </si>
  <si>
    <t>20-ZR-0133-2014</t>
  </si>
  <si>
    <t>Edificio “B” Prim. General Josefa Ortíz de Domínguez, San Juan Tlacotenco (2da. Etapa)</t>
  </si>
  <si>
    <t>BANORTE
0207068380</t>
  </si>
  <si>
    <t>RAMO 33 FONDO 15 FAM BASICO  2014</t>
  </si>
  <si>
    <t xml:space="preserve">08.- Infraestructura de Educación Básica </t>
  </si>
  <si>
    <t>20.- Tepoztlán</t>
  </si>
  <si>
    <t>5.- Col. San Juan Tlacotenco</t>
  </si>
  <si>
    <t>AD-046-2014</t>
  </si>
  <si>
    <t>SSP/0459-BIS-JM/2014 
SSP/0717-JM/2014</t>
  </si>
  <si>
    <t>02/05/2014 03-07-2014</t>
  </si>
  <si>
    <t>solo se tramita con la factura.</t>
  </si>
  <si>
    <t>31-ZU-0015-2014</t>
  </si>
  <si>
    <t>Construcción de Techumbre en Cancha de Usos Múltiples Esc. Prim. Niños Héroes</t>
  </si>
  <si>
    <t>004.- Benito Juárez</t>
  </si>
  <si>
    <t>IR-211-2013</t>
  </si>
  <si>
    <t>SSP/0315-JM/2014
SSP/760-JM/2014</t>
  </si>
  <si>
    <t>24/03/2014
14/07/2014</t>
  </si>
  <si>
    <t>07-ZU-0917-2013</t>
  </si>
  <si>
    <r>
      <t xml:space="preserve">Remodelación del Inmueble de la Secretaría de Turismo </t>
    </r>
    <r>
      <rPr>
        <b/>
        <sz val="6"/>
        <rFont val="Arial"/>
        <family val="2"/>
      </rPr>
      <t>Cancelación de saldos por $23,172.58 SSIO/DA/459/2015</t>
    </r>
  </si>
  <si>
    <t>BANAMEX
70042764580</t>
  </si>
  <si>
    <t>RAMO 33 FONDO 8 (FAFEF 2013)INTERESES 2013 REFRENDO</t>
  </si>
  <si>
    <t>22.- Infraestructura de Turismo</t>
  </si>
  <si>
    <t>7.- Cuernavaca</t>
  </si>
  <si>
    <t>019.- Col. Las Palmas</t>
  </si>
  <si>
    <t>AD-016-2014</t>
  </si>
  <si>
    <t>SSP/0282-JM/2014
SH-2220-2-2015</t>
  </si>
  <si>
    <t>19/03/2014
12/11/2015</t>
  </si>
  <si>
    <t>S/INDIRECTOS</t>
  </si>
  <si>
    <t>Terminación de Etapa II de Consolidación del SCALL en el Centro de Bachillerato Tecnológico Agropecuario CBTA No. 71 de Tlalnepantla</t>
  </si>
  <si>
    <t>O.P.F. 2007 (Mejoramiento de la Infraestructura de Educación Media Superior)</t>
  </si>
  <si>
    <t>19.- Infraestructura Educativa Media Superior</t>
  </si>
  <si>
    <t>23.- Tlalnepantla</t>
  </si>
  <si>
    <t>001.- Tlalnepantla</t>
  </si>
  <si>
    <t>AD-015-2014</t>
  </si>
  <si>
    <t>SSP/309-JM/2014
SSP/0504-JM/2014</t>
  </si>
  <si>
    <t>O.P.F. 2010 (Innovación)</t>
  </si>
  <si>
    <t>Manuel Martínez</t>
  </si>
  <si>
    <t>Isacc Pimentel</t>
  </si>
  <si>
    <t>04.- Ayala</t>
  </si>
  <si>
    <t>2% INDIRECTOS</t>
  </si>
  <si>
    <t>50 dias</t>
  </si>
  <si>
    <t>99-ZU-0129-2014</t>
  </si>
  <si>
    <t xml:space="preserve">Programa de Obras Menores de Electrificación en Todo el Estado </t>
  </si>
  <si>
    <t>SG.- Electrificación</t>
  </si>
  <si>
    <t>15.- Dotación</t>
  </si>
  <si>
    <t>27.- Infraestructura eléctrica</t>
  </si>
  <si>
    <t xml:space="preserve">999.- Varias Localidades </t>
  </si>
  <si>
    <t xml:space="preserve">SH/665-2/2014 </t>
  </si>
  <si>
    <t>14/05/2014   02/06/2014</t>
  </si>
  <si>
    <t>04-ZU-0138-2014</t>
  </si>
  <si>
    <t>Construcción de Cancha de Usos Múltiples en Calle Eufemio Zapata. Localidad de Anenecuilco, Ayala</t>
  </si>
  <si>
    <t xml:space="preserve">26.-Infraestructura Deportiva </t>
  </si>
  <si>
    <t>006.- Anenecuilco Centro</t>
  </si>
  <si>
    <t>AD-029-2014</t>
  </si>
  <si>
    <t>SH/0698-2/2014</t>
  </si>
  <si>
    <t>Antonio Rodriguez</t>
  </si>
  <si>
    <t>11-ZR-0135-2014</t>
  </si>
  <si>
    <r>
      <t xml:space="preserve">Construcción de Techumbre de Usos Múltiples, Localidad Jardín Juárez, Jiutepec </t>
    </r>
    <r>
      <rPr>
        <b/>
        <sz val="6"/>
        <rFont val="Arial"/>
        <family val="2"/>
      </rPr>
      <t>Cancelación de Saldos por $290,764.34 SSIO/DA/389/2015</t>
    </r>
  </si>
  <si>
    <t>26.- Infraestructura Urbana</t>
  </si>
  <si>
    <t>88.- Jardín Juárez</t>
  </si>
  <si>
    <t>IR-008-2014</t>
  </si>
  <si>
    <t>SH-692-2014
SH-2043-2-2015</t>
  </si>
  <si>
    <t>19/05/2014
09/10/2015</t>
  </si>
  <si>
    <t>11-ZU-0136-2014</t>
  </si>
  <si>
    <r>
      <t xml:space="preserve">Construcción de Techumbre de Usos Múltiples, Localidad Morelos, Jiutepec </t>
    </r>
    <r>
      <rPr>
        <b/>
        <sz val="6"/>
        <rFont val="Arial"/>
        <family val="2"/>
      </rPr>
      <t>Cancelación de Saldos por $258,643.84SSIO/DA/389/2015</t>
    </r>
  </si>
  <si>
    <t>056.- Morelos</t>
  </si>
  <si>
    <t>IR-009-2014</t>
  </si>
  <si>
    <t>SH/0784-2/2014
SH-2043-2-2015</t>
  </si>
  <si>
    <t>02/06/2014
09/10/2015</t>
  </si>
  <si>
    <t>99-ZU-0153-2014</t>
  </si>
  <si>
    <t>Rehabilitación y Adecuación de Espacios Deportivos en Varias Localidades para los Juegos Paralímpicos 2014</t>
  </si>
  <si>
    <t>SL.- Infraestructura Deportiva</t>
  </si>
  <si>
    <t>26.- Infraestructura Deportiva</t>
  </si>
  <si>
    <t>IR-044-2014</t>
  </si>
  <si>
    <t>SH/0715-2/2014</t>
  </si>
  <si>
    <t>3% INDIRECTOS</t>
  </si>
  <si>
    <t>15 DIAS</t>
  </si>
  <si>
    <t>BBVA BANCOMER
0193745244</t>
  </si>
  <si>
    <t>RECURSOS PROPIOS  (SEDECO)</t>
  </si>
  <si>
    <r>
      <t xml:space="preserve">Proyecto Ejecutivo del Desarrollo Industrial Verde Yecapixtla </t>
    </r>
    <r>
      <rPr>
        <b/>
        <sz val="6"/>
        <rFont val="Arial"/>
        <family val="2"/>
      </rPr>
      <t>Cancelación de saldos por $46,516.54 SSIO/DA/307/2015</t>
    </r>
  </si>
  <si>
    <t>RECURSOS PROPIOS DEL INSTITUTO MORELENSE PARA EL FINANCIAMIENTO DEL SECTOR PRODUCTIVO</t>
  </si>
  <si>
    <t>02.- Tramitar y dar Seguimiento a los Proyectos Ejecutivos de Obras para su Autorización</t>
  </si>
  <si>
    <t>30.- Yecapixtla</t>
  </si>
  <si>
    <t>005.- Yecapixtla</t>
  </si>
  <si>
    <t>IR-006-2014</t>
  </si>
  <si>
    <t>FM/DG/37/14</t>
  </si>
  <si>
    <t>31 DIAS</t>
  </si>
  <si>
    <t>Est. 2 Fin. Por $6,919.83</t>
  </si>
  <si>
    <t xml:space="preserve">RECURSOS PROPIOS </t>
  </si>
  <si>
    <t xml:space="preserve">Elevador Obra Civil, Importación Instalación </t>
  </si>
  <si>
    <t xml:space="preserve">CONVENIO FONDO MORELOS </t>
  </si>
  <si>
    <t>T.F.- Fomento a la Producción y Productividad</t>
  </si>
  <si>
    <t>06.- Cuautla</t>
  </si>
  <si>
    <t>28.- Otilio Montaño</t>
  </si>
  <si>
    <t>Construcción de una Alberca en el Balneario denomiado Piedra Rajada, Adquisición de Luminarias y Calentadores en el Balneario denominado Piedra Rajada, Construcción y Equipamiento de SPA en el Balneario denominado Piedra Rajada en la Comunidad de Chalcatzingo, el Mpio de Jantetelco</t>
  </si>
  <si>
    <t>DE.- Desarrollo Económico</t>
  </si>
  <si>
    <t>Jantetelco</t>
  </si>
  <si>
    <t>Chalcatzingo</t>
  </si>
  <si>
    <t>Instalación de Transformador y Red de Alimentación para el área de Rayos X del Centro de Rehabilitación Integral de Cuernavaca, Morelos</t>
  </si>
  <si>
    <t xml:space="preserve">Recursos Propios DIF </t>
  </si>
  <si>
    <t>90.- Lomas de la Selva</t>
  </si>
  <si>
    <t>AD-049-2014</t>
  </si>
  <si>
    <t>DIF/DAyF-328/SRF-302/PPTO-087/2014</t>
  </si>
  <si>
    <t>31-ZU-0881-2010</t>
  </si>
  <si>
    <t>Construcción de Primera Etapa de  la Unidad Académica Departamental Tipo II para el Instituto Tecnológico de Zacatepec</t>
  </si>
  <si>
    <t>BANCOMER
194082095</t>
  </si>
  <si>
    <t>OTROS CONVENIOS FEDERALES  (Ampliación dela Oferta Educativa 2013 Tec. Zacatepec)</t>
  </si>
  <si>
    <t xml:space="preserve">20.- Infraestructura Educativa Superior </t>
  </si>
  <si>
    <t>03.- Centro</t>
  </si>
  <si>
    <t>LPF-003-2014</t>
  </si>
  <si>
    <t>SH-0677-2-2014</t>
  </si>
  <si>
    <t>180 dias</t>
  </si>
  <si>
    <t>BANORTE 
0811212115</t>
  </si>
  <si>
    <t>RAMO 33 FONDO 18.-FAM SUPERIOR 2012</t>
  </si>
  <si>
    <t>BANCOMER
0177502605</t>
  </si>
  <si>
    <t>OTROS PROGRAMA FEDERALES (Ampliación de la Oferta Educativa 2010)</t>
  </si>
  <si>
    <t>31-ZU-0546-2012</t>
  </si>
  <si>
    <t>Complemento para la Conclusión de Trabajos en el Edificio de Docencia Planta Baja y Alta más Obra Exterior (2da. Etapa) para el Instituto Tecnológico de Zacatepec</t>
  </si>
  <si>
    <t>RAMO 33 (52.-FAM SUPERIOR)</t>
  </si>
  <si>
    <t>4.- Construcción Rehabilitación y Equipamiento de Planteles de Educación Superior</t>
  </si>
  <si>
    <t>31-ZU-097-2011</t>
  </si>
  <si>
    <t>Construcción General de un Segundo Nivel del Edificio 4, 2a. Etapa, para el Instituto Tecnológico</t>
  </si>
  <si>
    <t>Otros programas federales (1.-Ampliación de la Oferta Educativa 2010)</t>
  </si>
  <si>
    <t>03.- Zacatepec</t>
  </si>
  <si>
    <t>18.- Temixco</t>
  </si>
  <si>
    <t>Erika Cortes</t>
  </si>
  <si>
    <t>70 DIAS</t>
  </si>
  <si>
    <t>04.- ayala</t>
  </si>
  <si>
    <t>PAGO A PROVEEDOR</t>
  </si>
  <si>
    <t>60 dias</t>
  </si>
  <si>
    <t>07-ZU-0162-2014</t>
  </si>
  <si>
    <r>
      <t xml:space="preserve">Remodelación de las Oficinas de Desarrollo Integral de la Familia DIF, en el Municipio de Cuernavaca, Morelos. </t>
    </r>
    <r>
      <rPr>
        <b/>
        <sz val="6"/>
        <rFont val="Arial"/>
        <family val="2"/>
      </rPr>
      <t>Cancelación de Saldos por $47,793.02 SSIO/DA/388/2015</t>
    </r>
  </si>
  <si>
    <t>123.- El Vergel</t>
  </si>
  <si>
    <t>IR-047-2014</t>
  </si>
  <si>
    <t>SH-0795-2-2014
SH-2043-2-2015</t>
  </si>
  <si>
    <t>04/06/2014
09/10/2015</t>
  </si>
  <si>
    <t>9% INDIRECTOS</t>
  </si>
  <si>
    <t>100 DIAS</t>
  </si>
  <si>
    <t>07-ZU-0205-2014</t>
  </si>
  <si>
    <t>Remodelación de las Oficinas de Desarrollo Integral de la Familia DIF, (2da. Etapa) , en Cuernavaca.</t>
  </si>
  <si>
    <t>SH-0867-2-2014</t>
  </si>
  <si>
    <t>07-ZU-0169-2014</t>
  </si>
  <si>
    <t xml:space="preserve">Construcción de Techumbre en Cancha de Usos Múltiples </t>
  </si>
  <si>
    <t>Carlos de la Rosa</t>
  </si>
  <si>
    <t>118.- Los Tulipanes</t>
  </si>
  <si>
    <t>AD-041-2014</t>
  </si>
  <si>
    <t>SH-0795-2/2014</t>
  </si>
  <si>
    <t>18-ZU-0168-2014</t>
  </si>
  <si>
    <t>Construcción de Ciclopista y Cercado</t>
  </si>
  <si>
    <t>47.- Conjunto Urbano Ayuntamiento 2000</t>
  </si>
  <si>
    <t>IR-034-2014</t>
  </si>
  <si>
    <t>SH/0795-2/2014</t>
  </si>
  <si>
    <t>07-ZU-0167-2014</t>
  </si>
  <si>
    <t>Techado de Explanada de Usos Múltiples en Calle Mariano Matamoros</t>
  </si>
  <si>
    <t>16.- Col. Lagunilla del Salto</t>
  </si>
  <si>
    <t>IR-030-2014</t>
  </si>
  <si>
    <t>SH/0794-2/2014</t>
  </si>
  <si>
    <t>12-ZR-0183-2014</t>
  </si>
  <si>
    <r>
      <t xml:space="preserve">Arena Teques  </t>
    </r>
    <r>
      <rPr>
        <b/>
        <sz val="6"/>
        <rFont val="Arial"/>
        <family val="2"/>
      </rPr>
      <t>Cancelación de Saldos por $10,092.65 SSIO/DA/389/2015 Obra 12-ZR-0183-2014</t>
    </r>
  </si>
  <si>
    <t xml:space="preserve">TU.- Turismo </t>
  </si>
  <si>
    <t>012.- Tequesquitengo</t>
  </si>
  <si>
    <t>IR-024-2014</t>
  </si>
  <si>
    <t>SH/0845-2/2014
SH-2043-2-2015</t>
  </si>
  <si>
    <t>13/06/2014
09/10/2015</t>
  </si>
  <si>
    <t>12-ZR-0941-2013</t>
  </si>
  <si>
    <t>2.1.1</t>
  </si>
  <si>
    <t xml:space="preserve">R-33 F-9 FAFEF 2013 </t>
  </si>
  <si>
    <t>SH-1516-2-2014</t>
  </si>
  <si>
    <t>R-33 F-11 (FAFEF 2013 INTERESES 2013)</t>
  </si>
  <si>
    <t>R-33 F-35 (FAFEF 2013 INTERESES 2014)</t>
  </si>
  <si>
    <t>14-ZR-0206-2014</t>
  </si>
  <si>
    <t>Construcción de Arco de Acceso en el Municipio de Mazatepec (Obra Cancelada con Oficio SH-840-2-2015)</t>
  </si>
  <si>
    <t>Carlos Rivera</t>
  </si>
  <si>
    <t>14.- Mazatepec</t>
  </si>
  <si>
    <t>002.- Mazatepec</t>
  </si>
  <si>
    <t>AD-071-2014</t>
  </si>
  <si>
    <t>SH-0875-2-2014</t>
  </si>
  <si>
    <t>18-ZR-0165-2014</t>
  </si>
  <si>
    <t>Obra Complementaria de Construcción de Techumbre en la Primaria Otilio Montaño</t>
  </si>
  <si>
    <t>David Martínez</t>
  </si>
  <si>
    <t>8.- Col. Alta Palmira</t>
  </si>
  <si>
    <t>AD-036-2014</t>
  </si>
  <si>
    <t>SH/0926-2/2014</t>
  </si>
  <si>
    <t>04-ZU-0200-2014</t>
  </si>
  <si>
    <t>Construcción de Barda Perimetral en la Esc. Sec. Tierra y Libertad, Localidad Ayala, Ayala.</t>
  </si>
  <si>
    <t>01.- Ciudad Ayala</t>
  </si>
  <si>
    <t>IR-020-2014</t>
  </si>
  <si>
    <t>SH/0826-2/2014</t>
  </si>
  <si>
    <t>07-ZU-0156-2014</t>
  </si>
  <si>
    <t xml:space="preserve">Adecuación de Baños Infantiles y Bodega en CAM No. 13, Santa María Ahuacatitlán, Cuernavaca. </t>
  </si>
  <si>
    <t xml:space="preserve">26.- Col. Santa María Ahuacatitlán </t>
  </si>
  <si>
    <t>AD-038-2014</t>
  </si>
  <si>
    <t>04-ZU-0201-2014</t>
  </si>
  <si>
    <t>Construcción de Aulas de Medios 12X8.00 M En Estructura R.C. Prim. Mártir de Chinameca, Localidad de Xalostoc, Ayala</t>
  </si>
  <si>
    <t>020.- Xalostoc</t>
  </si>
  <si>
    <t>IR-019-2014</t>
  </si>
  <si>
    <t>SE.- Urbanización</t>
  </si>
  <si>
    <t>10.- Jantetelco</t>
  </si>
  <si>
    <t>21.- Tetecala</t>
  </si>
  <si>
    <t>11-ZU-0241-2014</t>
  </si>
  <si>
    <t>Construcción de Auditorio los Pericos 1a. Etapa, en la Localidad de Tejalpa Municipio de Jiutepec</t>
  </si>
  <si>
    <t xml:space="preserve">240.- Tejalpa </t>
  </si>
  <si>
    <t>IR-050-2014</t>
  </si>
  <si>
    <t>SH-0933-2-2014
SH/1071-2/2014
SH-1858-2-2014</t>
  </si>
  <si>
    <t>23/07/2014
04/11/2014</t>
  </si>
  <si>
    <t>25-ZR-0216-2014</t>
  </si>
  <si>
    <t>Techumbre en Cancha de Usos Múltiples de la Ayudantía Municipal de la Colonia Alfredo V. Bofill</t>
  </si>
  <si>
    <t>Juan Angel Flores Bustamante</t>
  </si>
  <si>
    <t>2.- Alfredo V. Bofill</t>
  </si>
  <si>
    <t>AD-031-2014</t>
  </si>
  <si>
    <t>SH-0933-2-2014
SH/1071-2/2014</t>
  </si>
  <si>
    <t>18-ZR-0231-2014</t>
  </si>
  <si>
    <r>
      <t xml:space="preserve">Construcción del Centro de Atención al Menor (CAM) y Centro de Convivencia y Asistencia Social (CCAS), en Temixco </t>
    </r>
    <r>
      <rPr>
        <b/>
        <sz val="6"/>
        <rFont val="Arial"/>
        <family val="2"/>
      </rPr>
      <t>Cancelación de Saldos por $158,355.63 SSIO/DA/390/2015</t>
    </r>
  </si>
  <si>
    <t>Miguel Hidalgo</t>
  </si>
  <si>
    <t>AD-054-2014</t>
  </si>
  <si>
    <t>SH/0955-2/2014
SH-2043-2-2015</t>
  </si>
  <si>
    <t>10/07/2014
09/10/2015</t>
  </si>
  <si>
    <t>190 DIAS</t>
  </si>
  <si>
    <t>17-ZU-0198-2014</t>
  </si>
  <si>
    <t xml:space="preserve">Techumbre de Usos Múltiples en la Primaria Benito Juárez Ubicada en la Col. Benito Juárez Municipio de Puente de Ixtla, Morelos. </t>
  </si>
  <si>
    <t>Rosalina</t>
  </si>
  <si>
    <t>17.- Puente de Ixtla</t>
  </si>
  <si>
    <t>023.- Col. Benito Juárez</t>
  </si>
  <si>
    <t>AD-058-2014</t>
  </si>
  <si>
    <t>SH/952-2/2014</t>
  </si>
  <si>
    <t>03-ZR-0211-2014</t>
  </si>
  <si>
    <t>Construcción de Barda de Block Aparente en la Secundaria No. 29</t>
  </si>
  <si>
    <t>03.- Axochiapan</t>
  </si>
  <si>
    <t>03.- Telixtac</t>
  </si>
  <si>
    <t>AD-035-2015</t>
  </si>
  <si>
    <t>03-ZR-0210-2014</t>
  </si>
  <si>
    <t>Construcción de Barda de Block Aparente en la Primaria El Porvenir Social</t>
  </si>
  <si>
    <t>A.D.-061/2014</t>
  </si>
  <si>
    <t>29-ZU-0180-2014</t>
  </si>
  <si>
    <t>Techado de Plaza Cívica en la Escuela Primaria Ignacio Zaragoza (se cancela la economía con oficio SSP/DGPGP/0130-JM/2015 05/02/2015) (Cancelación de Centavos según Oficio DA/159/2015)</t>
  </si>
  <si>
    <t>Humberto Segura</t>
  </si>
  <si>
    <t>29.- Yautepec</t>
  </si>
  <si>
    <t xml:space="preserve">10.- Col. Centro </t>
  </si>
  <si>
    <t>AD-018-2014</t>
  </si>
  <si>
    <t>SH/0965-2/2014</t>
  </si>
  <si>
    <t>07-ZU-0157-2014</t>
  </si>
  <si>
    <t xml:space="preserve">Construcción de Techumbre en Cancha Escuela Secundaria Tec. 44, Cuernavaca, Col. Lomas de Ahuatlán </t>
  </si>
  <si>
    <t>160.- Col. Lomas de Ahuatlan</t>
  </si>
  <si>
    <t>IR-059-2014</t>
  </si>
  <si>
    <t>12-ZR-0150-2014</t>
  </si>
  <si>
    <t>Techumbre en Cancha de la Esc. Prim. Netzahualcoyotl</t>
  </si>
  <si>
    <t>12.-Jojutla</t>
  </si>
  <si>
    <t>8.- Tehuixtla</t>
  </si>
  <si>
    <t>AD-034-2014</t>
  </si>
  <si>
    <t>SH-0965-2-2014</t>
  </si>
  <si>
    <t>25-ZR-0178-2014</t>
  </si>
  <si>
    <t>Techumbre en Cancha Esc. Sec. Telesecundaria Gral. Gabriel Tepepa</t>
  </si>
  <si>
    <t>004.- La Mezquitera</t>
  </si>
  <si>
    <t>AD-032-2014</t>
  </si>
  <si>
    <t>29-ZU-0179-2014</t>
  </si>
  <si>
    <t>Techado de Plaza Cívica Escolar en la Secundaria Técnica No. 33 Yautepec (se cancela la economía con oficio SSP/DGPGP/0130-JM/2015 05/02/2015)</t>
  </si>
  <si>
    <t>06.- Col. Ixtlahuacan</t>
  </si>
  <si>
    <t>IR-017-2014</t>
  </si>
  <si>
    <t>04-ZR-0199-2014</t>
  </si>
  <si>
    <t>Construcción de Techado (Área de Comedor) en Esc. Prim. Gregorio Torres, Tenextepango, Ayala</t>
  </si>
  <si>
    <t>042.- Tenextepango</t>
  </si>
  <si>
    <t>AD-044-2014</t>
  </si>
  <si>
    <t>12-ZU-0160-2014</t>
  </si>
  <si>
    <t>Techumbre en Patio de Usos Múltiples Esc. Prim. Pedro Amaro Alvarez</t>
  </si>
  <si>
    <t>27.- Panchimalco</t>
  </si>
  <si>
    <t>AD-033-2014</t>
  </si>
  <si>
    <t>11-ZU-0174-2014</t>
  </si>
  <si>
    <t>Construcción de Techumbre en la Prim. Luciano Rebolledo</t>
  </si>
  <si>
    <t>11.- Col. Progreso</t>
  </si>
  <si>
    <t>IR-036-2014</t>
  </si>
  <si>
    <t>75 dias</t>
  </si>
  <si>
    <t>3,657.60 EST. 3</t>
  </si>
  <si>
    <t>07-ZU-0159-2014</t>
  </si>
  <si>
    <t>Construcción de Techumbre en Plaza Cívica y Cisterna en Escuela Primaria Urbana Federal UNESCO, en el Municipio de Cuernavaca, Col. Chamilpa</t>
  </si>
  <si>
    <t>62.- Chamilpa</t>
  </si>
  <si>
    <t>AD-042-2014</t>
  </si>
  <si>
    <t>17-ZU-0196-2014</t>
  </si>
  <si>
    <t xml:space="preserve">Techumbre de Usos Múltiples en la Primaria Belem Proaño Ubicada en la Col. Loma Linda, Municipio de Puente de Ixtla, Morelos. </t>
  </si>
  <si>
    <t>22.- Col. Loma Linda</t>
  </si>
  <si>
    <t>AD-059-2014</t>
  </si>
  <si>
    <t>07-ZU-0173-2014</t>
  </si>
  <si>
    <t>Construcción de Techumbre en Cancha de Futbol Rápido en Escuela Secundaria No. 7, Cuernavaca, Col. Tetela del Monte</t>
  </si>
  <si>
    <t>38.- Col. Tetela  del Monte</t>
  </si>
  <si>
    <t>IR-058-2014</t>
  </si>
  <si>
    <t>31-ZU-0243-2014</t>
  </si>
  <si>
    <t>Demolición de Oficinas del Ingenio Emiliano Zapata, para la Construcción del Jardín de Niños Narcizo Mendoza, Municipio de Zacatepec</t>
  </si>
  <si>
    <t>85.- Demoliciones</t>
  </si>
  <si>
    <t>3.- Centro</t>
  </si>
  <si>
    <t>AD-051-2014</t>
  </si>
  <si>
    <t>SH-0964-2-2014</t>
  </si>
  <si>
    <t>11-ZU-0155-2014</t>
  </si>
  <si>
    <t>Construcción de Techumbre Usos Múltiples Esc. Prim. Lauro Ortega Martínez, Localidad López Portillo, Jiutepec</t>
  </si>
  <si>
    <t>57.- Col. López Portillo</t>
  </si>
  <si>
    <t>IR-037-2014</t>
  </si>
  <si>
    <t>07-ZU-0176-2014</t>
  </si>
  <si>
    <t>Construcción de Techumbre en Plaza Cívica Jardín de Niños Rosaura Zapata</t>
  </si>
  <si>
    <t>60.- Col. La Carolina</t>
  </si>
  <si>
    <t>AD-040-2014</t>
  </si>
  <si>
    <t>17-ZU-0203-2014</t>
  </si>
  <si>
    <t>Techumbre de Usos Múltiples en el Jardín de Niños Juanita Noguerón, Ubicada en la Col. San Mateo, Municipio de Puente de Ixtla, Morelos.</t>
  </si>
  <si>
    <t>15.- Col. San Mateo</t>
  </si>
  <si>
    <t>IR-052-2014</t>
  </si>
  <si>
    <t>07-ZU-0158-2014</t>
  </si>
  <si>
    <t>Construcción de Techumbre en CAM No. 8, Chapultepec Cuernavaca</t>
  </si>
  <si>
    <t>137.- Col. Chapultepec</t>
  </si>
  <si>
    <t>AD-039-2014</t>
  </si>
  <si>
    <t>17-ZU-0197-2014</t>
  </si>
  <si>
    <t>Techumbre de Usos Múltiples en Prim. Vicente Guerrero Ubicada en la Col. Loma Linda, Municipio de Puente de Ixtla, Morelos</t>
  </si>
  <si>
    <t>AD-064/2014</t>
  </si>
  <si>
    <t>06-ZU-0175-2014</t>
  </si>
  <si>
    <t>Construcción de Techumbre en Jardín de Niños Manuel Llera Placencia</t>
  </si>
  <si>
    <t>6.- Cuautla</t>
  </si>
  <si>
    <t>21.- Col. Benito Juárez</t>
  </si>
  <si>
    <t>AD-037-2014</t>
  </si>
  <si>
    <t>12-ZU-0181-2014</t>
  </si>
  <si>
    <t>Techumbre en la Plaza Cívica de la Esc. Sec. Tec. No. 2 en el Municipio de Jojutla</t>
  </si>
  <si>
    <t>2.- Jojutla de Juárez Centro</t>
  </si>
  <si>
    <t>IR-053-2014</t>
  </si>
  <si>
    <t>29-ZU-0182-2014</t>
  </si>
  <si>
    <t>Techado de Cancha Deportiva en la Escuela Telesecundaria Belisario Domínguez, Yautepec, Morelos</t>
  </si>
  <si>
    <t>125.- Ampliación Atlihuayan</t>
  </si>
  <si>
    <t>IR-028-2014</t>
  </si>
  <si>
    <t>17-ZU-0195-2014</t>
  </si>
  <si>
    <t>Techumbre de Usos Múltiples en el Jardín de Niños Jacinta Aburto de Espin, Ubicada en la Col. Emiliano Zapata, Municipio de Puente de Ixtla Morelos.</t>
  </si>
  <si>
    <t>11.- Col. Emiliano Zapata</t>
  </si>
  <si>
    <t>AD-065-2014</t>
  </si>
  <si>
    <t>18-ZU-0163-2014</t>
  </si>
  <si>
    <t>Construcción de Techumbre en la Primaria Niños Héroes</t>
  </si>
  <si>
    <t>11.- Lomas del Carril</t>
  </si>
  <si>
    <t>IR-046-2014</t>
  </si>
  <si>
    <t>SH/0977-2/2014</t>
  </si>
  <si>
    <t>12-ZU-0707-2009</t>
  </si>
  <si>
    <t>Construcción de Juzgados Orales de Jojutla (Palacio de Justicia de Jojutla) Cancelación de Saldos por $232,615.44 SSIO/DA/489/2015</t>
  </si>
  <si>
    <t>BANORTE
619681711</t>
  </si>
  <si>
    <t>RAMO 33 FASP 2009 RENDIMIENTOS FINANCIEROS 2012</t>
  </si>
  <si>
    <t>18.- Del Bosque</t>
  </si>
  <si>
    <t>AD-112-2014</t>
  </si>
  <si>
    <t>SH/1009-2/2014</t>
  </si>
  <si>
    <t>RAMO 33 FASP 2009 RENDIMIENTOS FINANCIEROS 2013</t>
  </si>
  <si>
    <t>BANORTE
622125297</t>
  </si>
  <si>
    <r>
      <rPr>
        <b/>
        <sz val="4"/>
        <rFont val="Arial"/>
        <family val="2"/>
      </rPr>
      <t>PIPE</t>
    </r>
    <r>
      <rPr>
        <sz val="4"/>
        <rFont val="Arial"/>
        <family val="2"/>
      </rPr>
      <t xml:space="preserve"> FASP 2009 ESTATAL RENDIMIENTOS FINANCIEROS 2009</t>
    </r>
  </si>
  <si>
    <r>
      <rPr>
        <b/>
        <sz val="4"/>
        <rFont val="Arial"/>
        <family val="2"/>
      </rPr>
      <t>PIPE</t>
    </r>
    <r>
      <rPr>
        <sz val="4"/>
        <rFont val="Arial"/>
        <family val="2"/>
      </rPr>
      <t xml:space="preserve"> FASP ESTATAL RENDIMIENOS FINANCIEROS 2010</t>
    </r>
  </si>
  <si>
    <r>
      <rPr>
        <b/>
        <sz val="4"/>
        <rFont val="Arial"/>
        <family val="2"/>
      </rPr>
      <t>PIPE</t>
    </r>
    <r>
      <rPr>
        <sz val="4"/>
        <rFont val="Arial"/>
        <family val="2"/>
      </rPr>
      <t xml:space="preserve">  FASP 2009 ESTATAL RENDIMIENTOS </t>
    </r>
  </si>
  <si>
    <r>
      <rPr>
        <b/>
        <sz val="4"/>
        <rFont val="Arial"/>
        <family val="2"/>
      </rPr>
      <t>PIPE</t>
    </r>
    <r>
      <rPr>
        <sz val="4"/>
        <rFont val="Arial"/>
        <family val="2"/>
      </rPr>
      <t xml:space="preserve"> FASP 2009 ESTATAL RENDIMIENTOS FINANCIEROS 2012</t>
    </r>
  </si>
  <si>
    <r>
      <rPr>
        <b/>
        <sz val="4"/>
        <rFont val="Arial"/>
        <family val="2"/>
      </rPr>
      <t xml:space="preserve">PIPE </t>
    </r>
    <r>
      <rPr>
        <sz val="4"/>
        <rFont val="Arial"/>
        <family val="2"/>
      </rPr>
      <t xml:space="preserve"> FASP 2009 ESTATAL RENDIMIENTOS FINANCIEROS 2013</t>
    </r>
  </si>
  <si>
    <t>BANORTE
630624384</t>
  </si>
  <si>
    <t>RAMO 33 FASP 2010 RENDIMIENTOS FINANCIEROS 2011</t>
  </si>
  <si>
    <t>RAMO 33 FASP 2010 RENDIMIENTOS FINANCIEROS 2012</t>
  </si>
  <si>
    <t>RAMO 33 FASP 2010 RENDIMIENTOS FINANCIEROS 2013</t>
  </si>
  <si>
    <t>BANORTE
629669307</t>
  </si>
  <si>
    <t>PIPE  FASP 2010 ESTATAL RENDIMIENTOS FINANCIEROS 2012</t>
  </si>
  <si>
    <r>
      <rPr>
        <b/>
        <sz val="4"/>
        <rFont val="Arial"/>
        <family val="2"/>
      </rPr>
      <t>PIPE</t>
    </r>
    <r>
      <rPr>
        <sz val="4"/>
        <rFont val="Arial"/>
        <family val="2"/>
      </rPr>
      <t xml:space="preserve"> FASP 2010 ESTATAL RENDIMIENTOS FINANCIEROS 2013</t>
    </r>
  </si>
  <si>
    <t>BANORTE
666178840</t>
  </si>
  <si>
    <t>RAMO 33 FASP 2011 RENDIMIENTOS FINANCIEROS 2012</t>
  </si>
  <si>
    <t xml:space="preserve">RAMO 33 FASP 2011  RENDIMIENTOS FINANCIEROS 2013 </t>
  </si>
  <si>
    <t>BANORTE
666178868</t>
  </si>
  <si>
    <r>
      <rPr>
        <b/>
        <sz val="4"/>
        <rFont val="Arial"/>
        <family val="2"/>
      </rPr>
      <t>PIPE</t>
    </r>
    <r>
      <rPr>
        <sz val="4"/>
        <rFont val="Arial"/>
        <family val="2"/>
      </rPr>
      <t xml:space="preserve"> FASP 2011 ESTATAL RENDIMIENTOS FINANCIEROS 2012</t>
    </r>
  </si>
  <si>
    <t>BANORTE
811215013</t>
  </si>
  <si>
    <t>RAMO 33 FASP 2012 RENDIMIENTOS FINANCIEROS 2013</t>
  </si>
  <si>
    <t>BANORTE
813255264</t>
  </si>
  <si>
    <r>
      <rPr>
        <b/>
        <sz val="4"/>
        <rFont val="Arial"/>
        <family val="2"/>
      </rPr>
      <t>PIPE</t>
    </r>
    <r>
      <rPr>
        <sz val="4"/>
        <rFont val="Arial"/>
        <family val="2"/>
      </rPr>
      <t xml:space="preserve"> FASP 2012 ESTATAL RENDIMIENOS FINANCIEROS 2012</t>
    </r>
  </si>
  <si>
    <r>
      <rPr>
        <b/>
        <sz val="4"/>
        <rFont val="Arial"/>
        <family val="2"/>
      </rPr>
      <t>PIPE</t>
    </r>
    <r>
      <rPr>
        <sz val="4"/>
        <rFont val="Arial"/>
        <family val="2"/>
      </rPr>
      <t xml:space="preserve"> FASP 2012 ESTATAL RENDIMIENOS FINANCIEROS 2013</t>
    </r>
  </si>
  <si>
    <t>BANORTE
849361052</t>
  </si>
  <si>
    <t>RAMO 33 FASP 2013 RENDIMIENTOS FINANCIEROS 2013</t>
  </si>
  <si>
    <t>BANORTE
207068410</t>
  </si>
  <si>
    <t>RAMO 33 FONDO 7 FASP 2014</t>
  </si>
  <si>
    <t>300 DIAS</t>
  </si>
  <si>
    <t>31-ZU-0924-2013</t>
  </si>
  <si>
    <r>
      <t xml:space="preserve">Construccion de Seis Aulas Didacticas, Sanitarios, Aula de Usos Multiples, Direccion, Aula de Ingles (Computo), Aula de Terapia de Lenguaje, Bodega y Obra Exterior, en el Jardin de Niños Narcizo Mendoza de Zacatepec, Morelos </t>
    </r>
    <r>
      <rPr>
        <b/>
        <sz val="6"/>
        <rFont val="Arial"/>
        <family val="2"/>
      </rPr>
      <t>(Oficio de Cancelación SH/0799-2015 de fecha 27 de Abril del 2015 por $51,100.00) Cancelación de Saldos por $0.01 SSIO/DA/473/2015</t>
    </r>
  </si>
  <si>
    <t>BANORTE
0849361025</t>
  </si>
  <si>
    <t>2.3.1</t>
  </si>
  <si>
    <t>RAMO 33 FAM BASICO  2013</t>
  </si>
  <si>
    <t>SJ- Infraestructura Educativa</t>
  </si>
  <si>
    <t>003.- Centro</t>
  </si>
  <si>
    <t>AD-053-2014</t>
  </si>
  <si>
    <t>SH-0806-2/2014</t>
  </si>
  <si>
    <t>ant. Comprobado 10/07/2014</t>
  </si>
  <si>
    <t>06-FI-0002-2014</t>
  </si>
  <si>
    <t>Construcción del Libramiento Libertadores De Cuautla 2da. Etapa</t>
  </si>
  <si>
    <t>INTERACCIONES
300131504</t>
  </si>
  <si>
    <t>FIES 2014</t>
  </si>
  <si>
    <t>Centro</t>
  </si>
  <si>
    <t>LPF-004-2014</t>
  </si>
  <si>
    <t>SH/1067-2/2014</t>
  </si>
  <si>
    <t>11-ZU-0232-2014</t>
  </si>
  <si>
    <t xml:space="preserve">Construcción de Fosa Séptica, Rehabilitación de Red Hidrosanitaria y Baños en Esc. Sec. Técnica No. 14 en la Joya Jiutepec </t>
  </si>
  <si>
    <t>Col. Joyas de Agua</t>
  </si>
  <si>
    <t>AD-028-2014</t>
  </si>
  <si>
    <t>SH/1060-2/2014</t>
  </si>
  <si>
    <t>29-ZU-0212-2014</t>
  </si>
  <si>
    <t>Techado de Cancha Deportiva en la Escuela Secundaria Técnica No. 25 (se cancela la economía con oficio SSP/DGPGP/0130-JM/2015 05/02/2015)</t>
  </si>
  <si>
    <t>42.- Col. Francisco Villa</t>
  </si>
  <si>
    <t>IR-027-2014</t>
  </si>
  <si>
    <t>17-ZU-0204-2014</t>
  </si>
  <si>
    <t>Techumbre de Usos Múltiples en Prim. Gregorio Torres Quintero, Ubicada en la Col. San Mateo, Municipio de Puente de Ixtla,  Morelos.</t>
  </si>
  <si>
    <t>AD-067-2014</t>
  </si>
  <si>
    <t>04-FI-001-2014</t>
  </si>
  <si>
    <t>SI.- Vialidades Urbanas</t>
  </si>
  <si>
    <t>Tecomalco</t>
  </si>
  <si>
    <t>AD-048-2014</t>
  </si>
  <si>
    <t>SH-1067-2-2014</t>
  </si>
  <si>
    <t>BANAMEX 70064529526</t>
  </si>
  <si>
    <t>04-ZR-0936-2014</t>
  </si>
  <si>
    <r>
      <t>Construcción de Aulas en la Telesecundaria Benito Juárez (2da. Etapa)</t>
    </r>
    <r>
      <rPr>
        <b/>
        <sz val="6"/>
        <rFont val="Arial"/>
        <family val="2"/>
      </rPr>
      <t xml:space="preserve"> (Oficio de Cancelación SH/0799-2015 de fecha 27 de Abril del 2015 por $662,661.77)</t>
    </r>
  </si>
  <si>
    <t>San Juan Ahuehueyo</t>
  </si>
  <si>
    <t>AD-063-2014</t>
  </si>
  <si>
    <t>SH/1170-2/2014</t>
  </si>
  <si>
    <t>22-ZR-0934-2013</t>
  </si>
  <si>
    <r>
      <t xml:space="preserve">Construcción de 2 Aulas en RC de 6.00 X  8.00 M. + Obra Exterior Secundaria "Gral Andrés Quintana Roo" (2da. Etapa) </t>
    </r>
    <r>
      <rPr>
        <b/>
        <sz val="6"/>
        <rFont val="Arial"/>
        <family val="2"/>
      </rPr>
      <t>(Oficio de Cancelación SH/0799-2015 de fecha 27 de Abril del 2015 por $29,326.26)</t>
    </r>
  </si>
  <si>
    <t>Tetela del Volcán</t>
  </si>
  <si>
    <t>AD-055-2013</t>
  </si>
  <si>
    <t>SH/1170-2/2014
SH-0799-2015</t>
  </si>
  <si>
    <t>08/08/2014
27/04/2015</t>
  </si>
  <si>
    <t>04-ZR-0935-2013</t>
  </si>
  <si>
    <r>
      <t>Construcción de 2 Aulas en RC de 6.00 X  8.00 y 3 Anexos: Dirección y Sanitarios en Estructura RC, Obra Exterior en Primaria Indigena Yeyitlajtoli (2da. Etapa)</t>
    </r>
    <r>
      <rPr>
        <b/>
        <sz val="6"/>
        <rFont val="Arial"/>
        <family val="2"/>
      </rPr>
      <t xml:space="preserve"> (Oficio de Cancelación SH/0799-2015 de fecha 27 de Abril del 2015 por $11,041.36)</t>
    </r>
  </si>
  <si>
    <t>Loma Bonita</t>
  </si>
  <si>
    <t>AD-059-2013</t>
  </si>
  <si>
    <t>04-ZR-0933-2013</t>
  </si>
  <si>
    <t>Demolición  de Aulas Existentes, Construcción de Edificio y Exterior de la Primaria Prof. Cándido Díaz, Tenextepago-Ayala (2da. Etapa)</t>
  </si>
  <si>
    <t>Tenextepango</t>
  </si>
  <si>
    <t>07-ZU-0166-2014</t>
  </si>
  <si>
    <t>Techado de Cancha de Usos Múltiples y Colocación de Porterías y Canastas, en Escuela Prim. Lázaro Cárdenas</t>
  </si>
  <si>
    <t>70.- Ocotepec</t>
  </si>
  <si>
    <t>IR-035-2014</t>
  </si>
  <si>
    <t>SH-1074-2-2014</t>
  </si>
  <si>
    <t>07-ZU-0134-2014</t>
  </si>
  <si>
    <t>Construcción de Cubierta a base de Estructura Metálica en Esc. Prim. Mariano Matamoros en Chamilpa</t>
  </si>
  <si>
    <t>A.D.-005/2014</t>
  </si>
  <si>
    <t>18-ZU-0164-2014</t>
  </si>
  <si>
    <t>Construcción de Techumbre en la Primaria Nicolás Bravo</t>
  </si>
  <si>
    <t>22.- Col. Rubén Jaramillo</t>
  </si>
  <si>
    <t>I.R.-045/2014</t>
  </si>
  <si>
    <t>RECURSOS PROPIOS (SEDECO)</t>
  </si>
  <si>
    <r>
      <t xml:space="preserve">Parque de la Salud Morelos Primera Etapa </t>
    </r>
    <r>
      <rPr>
        <b/>
        <sz val="6"/>
        <rFont val="Arial"/>
        <family val="2"/>
      </rPr>
      <t>Cancelación de Saldo por $1,513,660.32 SSIO/DA/364/2015</t>
    </r>
  </si>
  <si>
    <t>SN.- INFfraestructura Hospitalaria</t>
  </si>
  <si>
    <t>028.- Xochitepec</t>
  </si>
  <si>
    <t>001.- Atlacholoaya</t>
  </si>
  <si>
    <t>LPF-006-2014</t>
  </si>
  <si>
    <t>CONVENIO</t>
  </si>
  <si>
    <t>1.5% INDIRECTOS</t>
  </si>
  <si>
    <t>360 DIAS</t>
  </si>
  <si>
    <t>28-ZR-0335-2014</t>
  </si>
  <si>
    <r>
      <t xml:space="preserve">Construcción del Centro de Capacitación dentro de las Instalaciones del Cuartel de Alpuyeca Morelos y Mejoramiento y/o Ampliación de Aulas en el Cuartel de Alpuyeca Municipio de Xochitepec </t>
    </r>
    <r>
      <rPr>
        <b/>
        <sz val="6"/>
        <rFont val="Arial"/>
        <family val="2"/>
      </rPr>
      <t>(Cancelación de recurso por $47,945.89 Recurso FASP SH-0729-2-2015) Cancelación de saldos por $594,069.83 SSIO/DA/458/2015 PIPE</t>
    </r>
  </si>
  <si>
    <t>PIPE.- 3.-  FONDO MORELENSE PARA LA SEGURIDAD PUBLICA MUNICIPAL (FOMSEM 2014)</t>
  </si>
  <si>
    <t>Alpuyeca</t>
  </si>
  <si>
    <t>AD-060-2014</t>
  </si>
  <si>
    <t>SH/1153-2/2014
SH-2220-2-2015</t>
  </si>
  <si>
    <t>06/08/2014
12/11/2015</t>
  </si>
  <si>
    <t>BANORTE
00207068410</t>
  </si>
  <si>
    <t>SH/1153-2/2014
SH-0729-2-2015</t>
  </si>
  <si>
    <t>06/08/2014
17/04/2015</t>
  </si>
  <si>
    <t>07-ZU-0287-2014</t>
  </si>
  <si>
    <t xml:space="preserve">Construcción del Parque Libertad en Calle Centenario en el Municipio de Cuernavaca, Morelos </t>
  </si>
  <si>
    <t>La Carolina</t>
  </si>
  <si>
    <t>AD-066-2014</t>
  </si>
  <si>
    <t>SH-1169-2-2014</t>
  </si>
  <si>
    <t>75 DIAS</t>
  </si>
  <si>
    <t>33-ZR-0313-2014</t>
  </si>
  <si>
    <t>Construcción de Primera Etapa Barda Perimetral (200.00 m) Plaza Cívica Fosa Séptica Pozo de Absorción, Muro de Acometida, Instalación Eléctrica Interior y Exterior más Obra Exterior Primaria Mtro. José Vasconcelos Calderón</t>
  </si>
  <si>
    <t>Temoac</t>
  </si>
  <si>
    <t>AD-167-2014</t>
  </si>
  <si>
    <t>SH/1155-2/2014</t>
  </si>
  <si>
    <t>18-ZU-0312-2014</t>
  </si>
  <si>
    <t>Construcción de  Andadores y Rampa de Acceso a Sanitarios colocación de Barandal Metálico, Construcción de Fosa Séptica, Suministro y Colocación de Bomba Alimentación Hidráulica a Tinacos, Primaria Niños Héroes</t>
  </si>
  <si>
    <t>Rio Escondido</t>
  </si>
  <si>
    <t>AD-208-2014</t>
  </si>
  <si>
    <t>03-ZU-0419-2014</t>
  </si>
  <si>
    <t>Rehabilitación de Sanitarios e Impermeabilización de Azoteas, Primaria Hermenegildo Galeana en el Municipio de Axochiapan</t>
  </si>
  <si>
    <t>Axochiapan</t>
  </si>
  <si>
    <t>AD-149-2014</t>
  </si>
  <si>
    <t>SH-1262-2-2014</t>
  </si>
  <si>
    <t>19-ZU-0314-2014</t>
  </si>
  <si>
    <t>Construcción de Barda Perimetral (260.00 m) Construcción de una Aula Didáctica de 6.00 X 8.00 Metros en Estructura  R-C, Primaria Tierra y Libertad</t>
  </si>
  <si>
    <t>Emiliano Zapata</t>
  </si>
  <si>
    <t>AD-152-2014</t>
  </si>
  <si>
    <t>33-ZR-0316-2014</t>
  </si>
  <si>
    <t xml:space="preserve">Rehabilitación de Instalación Eléctrica Exterior (Sustitución de 9 luminarias y Colocación de Puntas de Poste) Rehabilitación de Instalación Eléctrica en Sanitarios , Rehabilitación y Revisión de Cargas en Taller de Ciencias y Equipamiento del Taller de Informática Secundaria General 17 de Marzo </t>
  </si>
  <si>
    <t>AD-111-2014</t>
  </si>
  <si>
    <t>33-ZR-0317-2014</t>
  </si>
  <si>
    <t xml:space="preserve">Sustitución de Techumbre de Lámina Galvanizada por Multipanel en Dos Edificios, Rehabilitación de Instalación Eléctrica en Aulas, Prim. Emiliano Zapata. </t>
  </si>
  <si>
    <t>AD-155-2014</t>
  </si>
  <si>
    <t>80 DIAS</t>
  </si>
  <si>
    <t>09-ZR-0315-2014</t>
  </si>
  <si>
    <r>
      <t xml:space="preserve">Sustitución de 4 Aulas Didácticas de 6.00 X 8.00 metros en Estructura R-C Primaria Melchor Ocampo </t>
    </r>
    <r>
      <rPr>
        <b/>
        <sz val="6"/>
        <rFont val="Arial"/>
        <family val="2"/>
      </rPr>
      <t>Cancelación de saldos por $23,864.34 SSIO/DA/419/2015</t>
    </r>
  </si>
  <si>
    <t>9.- Huitzilac</t>
  </si>
  <si>
    <t>Tres Marias</t>
  </si>
  <si>
    <t>IR-159-2014</t>
  </si>
  <si>
    <t>SH-1173-2014
SH-2121-2-2015</t>
  </si>
  <si>
    <t>08/08/2014
23/10/2015</t>
  </si>
  <si>
    <t>90 dias</t>
  </si>
  <si>
    <t>12-ZU-0399-2014</t>
  </si>
  <si>
    <t>Construcción de Una Unidad Habitacional Militar (65 Viviendas), en el Precio Conocido como los Lagartos, en el Municipio de Jojutla, Morelos.</t>
  </si>
  <si>
    <t>Los Lagartos</t>
  </si>
  <si>
    <t>SH-1137-2-2014</t>
  </si>
  <si>
    <t>BANORTE
0862150077</t>
  </si>
  <si>
    <t>12-ZU-0262-2014</t>
  </si>
  <si>
    <t>Equipamiento para la Sala y Centro de Computo en Escuela Preparatoria No. 4 de Jojutla. Jojutla</t>
  </si>
  <si>
    <t xml:space="preserve">05.- Equipamiento </t>
  </si>
  <si>
    <t xml:space="preserve">02.- Construcción, rehabilitación y equipamiento de Planteles de Educación Básica </t>
  </si>
  <si>
    <t>SH/1047-2/2014</t>
  </si>
  <si>
    <t>07-ZR-0333-2014</t>
  </si>
  <si>
    <t xml:space="preserve">Rehabilitación General de Sanitarios de Primaria Plan de Ayala </t>
  </si>
  <si>
    <t>Buena Vista del Monte</t>
  </si>
  <si>
    <t>AD-074-2014</t>
  </si>
  <si>
    <t>SH-1229-2-2014</t>
  </si>
  <si>
    <t>65 DIAS</t>
  </si>
  <si>
    <t>99-ZU-0483-2014</t>
  </si>
  <si>
    <t>Pagos por Publicación de Procesos Licitatorios 2014</t>
  </si>
  <si>
    <t xml:space="preserve">56.- Publicaciones </t>
  </si>
  <si>
    <t xml:space="preserve">17.- Tramitar y dar seguimiento a los proyectos ejecutivos de obras para su autorización </t>
  </si>
  <si>
    <t>SH/1252-2/2014</t>
  </si>
  <si>
    <t>22-ZR-0334-2014</t>
  </si>
  <si>
    <t>Construcción de Aula de Medios sin Equipamiento y Pintura en General, Primaria "Tierra y Libertad"</t>
  </si>
  <si>
    <t>AD-106-2014</t>
  </si>
  <si>
    <t>SH/1229-2/2014</t>
  </si>
  <si>
    <t>26-ZU-0332-2014</t>
  </si>
  <si>
    <t>Construcción de un Aula Didáctica, Barda Perimetral 2da. Etapa (450ml) y Rehabilitación de Sanitarios para la "Secundaria Técnica No. 6"</t>
  </si>
  <si>
    <t>26.- Tlayacapan</t>
  </si>
  <si>
    <t>Tlayacapan</t>
  </si>
  <si>
    <t>IR-137-2014</t>
  </si>
  <si>
    <t>SH/1255-2/2014</t>
  </si>
  <si>
    <t>07-ZU-0286-2014</t>
  </si>
  <si>
    <t xml:space="preserve">Construcción de Cisterna de 20.00 m3 de Capacidad, Jardín de Niños Himno Nacional </t>
  </si>
  <si>
    <t>Chamilpa</t>
  </si>
  <si>
    <t>AD-102-2014</t>
  </si>
  <si>
    <t>07-ZU-0194-2014</t>
  </si>
  <si>
    <t>Construcción de Cisterna de 20.00 m3 de Capacidad, CENDI 1 IEBEM</t>
  </si>
  <si>
    <t>Lomás de Cortés</t>
  </si>
  <si>
    <t>AD-103-2014</t>
  </si>
  <si>
    <t>26-ZU-0338-2014</t>
  </si>
  <si>
    <t>Aumento de Altura de Barda Perimetral 300.00 m Aproximadamente, Primaria Cuauhtemoc</t>
  </si>
  <si>
    <t>Las Vivianas</t>
  </si>
  <si>
    <t>AD-136-2014</t>
  </si>
  <si>
    <t>SH/1241-2/2014</t>
  </si>
  <si>
    <t>07-ZU-0433-2014</t>
  </si>
  <si>
    <t>Construcción de Techumbre y Construcción de Cancha de Usos Múltiples en Unidad Deportiva Satelite Ubicado en la Loc. Col. Emiliano Zapata Municipio de Cuernavaca  (Obra Cancelada con Oficio SH-840-2-2015)</t>
  </si>
  <si>
    <t>Matias Nazario</t>
  </si>
  <si>
    <t>26.- Indrestructura Deportiva</t>
  </si>
  <si>
    <t>0142.- Emiliano Zapata</t>
  </si>
  <si>
    <t>IR-066-2014</t>
  </si>
  <si>
    <t>SH/1243-2/2014
SH-0840-2-2015</t>
  </si>
  <si>
    <t>15/08/2014
30/04/2015</t>
  </si>
  <si>
    <t>14-ZR-0337-2014</t>
  </si>
  <si>
    <t>Rehabilitación General de Sanitarios, Base para Tinacos y Pintura para el Jardín de Niños Acacia</t>
  </si>
  <si>
    <t xml:space="preserve">El Florido </t>
  </si>
  <si>
    <t>AD-078-2014</t>
  </si>
  <si>
    <t>13-ZU-0432-2014</t>
  </si>
  <si>
    <r>
      <t xml:space="preserve">Construcción de Unidad Deportiva Las Pilas en el Municipio de Jonacatepec </t>
    </r>
    <r>
      <rPr>
        <b/>
        <sz val="6"/>
        <rFont val="Arial"/>
        <family val="2"/>
      </rPr>
      <t>Cancelación de saldos por $93,360.00 SSIO/DA/459/2015</t>
    </r>
  </si>
  <si>
    <t>David Rosas</t>
  </si>
  <si>
    <t xml:space="preserve">Infraestructura Deportiva </t>
  </si>
  <si>
    <t xml:space="preserve">16.- Infraestructura Deportiva </t>
  </si>
  <si>
    <t>13.- Jonacatepec</t>
  </si>
  <si>
    <t xml:space="preserve">Col. Las Pilas </t>
  </si>
  <si>
    <t>IR-073-2014</t>
  </si>
  <si>
    <t>SH/1242-2/2014
SH-2220-2-2015</t>
  </si>
  <si>
    <t>15/08/2014
12/11/2015</t>
  </si>
  <si>
    <t>Arturo Flores</t>
  </si>
  <si>
    <t>BBVA BANCOMER
0193745279</t>
  </si>
  <si>
    <t>RAMO 33 FONDO 8 (FAFEF BANOBRAS 2013)</t>
  </si>
  <si>
    <t xml:space="preserve">Vicente Guerrero </t>
  </si>
  <si>
    <t>45 dias</t>
  </si>
  <si>
    <t>14-ZR-0400-2014</t>
  </si>
  <si>
    <t>Rehabilitación General de Red Eléctrica Exterior e Interior más Construcción de Barda Perimetral, Colindante con el Rio y Calle) 160.00 ml) Telesecundaria Sec. Tierra y Liberación Social</t>
  </si>
  <si>
    <t>Cuauhchichinola</t>
  </si>
  <si>
    <t>AD-119-2014</t>
  </si>
  <si>
    <t>28-ZR-0402-2014</t>
  </si>
  <si>
    <t>Rehabilitación de Instalación Eléctrica y Sanitaria del Turno Vespertino, Primaria Bernabé Bravo y/o Emiliano Zapata</t>
  </si>
  <si>
    <t>Atlacholoaya</t>
  </si>
  <si>
    <t>AD-096-2014</t>
  </si>
  <si>
    <t>23-ZR-0425-2014</t>
  </si>
  <si>
    <t>Construcción del Parque Aéreo La Correa, en el Municipio de Tlalnepantla, Morelos</t>
  </si>
  <si>
    <t>BANORTE
0226556495</t>
  </si>
  <si>
    <t>CONVENIOS FEDERALES TURISMO PRODERETUS 2014</t>
  </si>
  <si>
    <t>Tlalnepantla</t>
  </si>
  <si>
    <t>AD-181-2014</t>
  </si>
  <si>
    <t>SH/1710-2/2014</t>
  </si>
  <si>
    <t>reintegro de economía 09/06/2015</t>
  </si>
  <si>
    <t>16-ZR-0423-2014</t>
  </si>
  <si>
    <t>Construcción de Museo Comunitario en Ocuituco</t>
  </si>
  <si>
    <t>16.- Ocuituco</t>
  </si>
  <si>
    <t>Ocuituco</t>
  </si>
  <si>
    <t>LPF-016-2014</t>
  </si>
  <si>
    <t>SH/1795-2/2014</t>
  </si>
  <si>
    <t>24-ZR-0434-2014</t>
  </si>
  <si>
    <t xml:space="preserve">Sustitución de Cubierta de Lámina por Lámina Multipanel en 3 Aulas Didácticas, considerando la Sustitución de la Intalación Eléctrica, Rehabilitación de Aula Atípica como Biblioteca y Reparación de Edificios según Dictamen Técnico del INEIEM, Primaria Plan de Ayala en el Municipio de Tlaltizapán </t>
  </si>
  <si>
    <t>24.- Tlaltizapán</t>
  </si>
  <si>
    <t>Santa Rosa 30 Centro</t>
  </si>
  <si>
    <t>AD-126-2014</t>
  </si>
  <si>
    <t>07-ZU-0426-2014</t>
  </si>
  <si>
    <t>2A. Etapa del Museo del Arte Sacro en el Exconvento de la Asunción en Cuernavaca</t>
  </si>
  <si>
    <t>CONVENIOS FEDERALES 17.- TURISMO PRODERETUS 2014</t>
  </si>
  <si>
    <t>Cuernavaca Centro</t>
  </si>
  <si>
    <t>AD-133-2014</t>
  </si>
  <si>
    <t>BANCOMER
0196324975</t>
  </si>
  <si>
    <t>reintegro de economía 09/06/2015 Oficio DA/201/2015</t>
  </si>
  <si>
    <t>15-ZR-0328-2014</t>
  </si>
  <si>
    <t>Rehabilitación de Instalación Eléctrica en General Interior y Exterior, Rehabilitación General de Módulo de Sanitarios y Línea de Alimentación Hidráulica y Suministro y Colocación de Tinacos, Pintura General, Primaria Héroes de la Independencia</t>
  </si>
  <si>
    <t xml:space="preserve">15.- Miacatlán </t>
  </si>
  <si>
    <t xml:space="preserve">El Muelle </t>
  </si>
  <si>
    <t>AD-093-2014</t>
  </si>
  <si>
    <t>06-ZU-0424-2014</t>
  </si>
  <si>
    <t>Iluminación de Espacios Inseguros en Polígono 1,2,3 y 4</t>
  </si>
  <si>
    <t>BANORTE
0896966460</t>
  </si>
  <si>
    <t>CONVENIOS FEDERALES 18 PREVENCION DEL DELITO 2014</t>
  </si>
  <si>
    <t xml:space="preserve">86.- Prevención social de la violencia </t>
  </si>
  <si>
    <t>29.- Infraestructura de Seguridad  Ciudadana</t>
  </si>
  <si>
    <t>AD-081-2014</t>
  </si>
  <si>
    <t>SH-1263-2-2014</t>
  </si>
  <si>
    <t>29-ZU-0435-2014</t>
  </si>
  <si>
    <t>Construcción de Barda Perimetral, Reparación de Plaza Cívica y Construcción de Aula Didáctica de 2 E.E. Secundaria Técnica No. 7 en el Municipio de Yautepec</t>
  </si>
  <si>
    <t>Oaxtepec Centro</t>
  </si>
  <si>
    <t>IR-083-2014</t>
  </si>
  <si>
    <t>27-ZR-0436-2014</t>
  </si>
  <si>
    <t>Construccion de Barda Perimetral (15ml), Jardín de Niños Jesús Reyes Heroles, en el Municipio de Totolapan</t>
  </si>
  <si>
    <t>27.- Totolapan</t>
  </si>
  <si>
    <t>San Marcos</t>
  </si>
  <si>
    <t>AD-089-2014</t>
  </si>
  <si>
    <t>06-ZR-0395-2014</t>
  </si>
  <si>
    <t>Rehabilitación Integral del Parque Galeana Sur de la  Colonia Hermenegildo Galeana en Polígono 3</t>
  </si>
  <si>
    <t>Hermenegildo Galeana</t>
  </si>
  <si>
    <t>IR-067-2014</t>
  </si>
  <si>
    <t>10-ZR-0418-2014</t>
  </si>
  <si>
    <t>Rehabilitación de Sanitarios de 5.00 X 6.00 Metros, Construcción de Cisterna de 20.00 M3, Considerando Interconexión de Tanque Bajo a Tanque Alto y Suministro de Bomba de 1 H.P. Primaria Gral. Mariano Matamoros, e el Municipio de Jantetelco</t>
  </si>
  <si>
    <t>AD-077-2014</t>
  </si>
  <si>
    <t>RECURSOS PROPIOS SALUD</t>
  </si>
  <si>
    <r>
      <t xml:space="preserve">Rehabilitación de Instalación Eléctrica en el Centro de Salud de Juan Morales </t>
    </r>
    <r>
      <rPr>
        <b/>
        <sz val="6"/>
        <rFont val="Arial"/>
        <family val="2"/>
      </rPr>
      <t xml:space="preserve">Cancelación de Saldos por $2,469.67 SSIO/DA/387/2015 </t>
    </r>
  </si>
  <si>
    <t xml:space="preserve">030.- Juan Morales </t>
  </si>
  <si>
    <t>AD-003-2014</t>
  </si>
  <si>
    <t>SS/1343/2014</t>
  </si>
  <si>
    <r>
      <t xml:space="preserve">Rehabilitación de Instalación Eléctrica en el Centro de Salud de Xochitlán </t>
    </r>
    <r>
      <rPr>
        <b/>
        <sz val="6"/>
        <rFont val="Arial"/>
        <family val="2"/>
      </rPr>
      <t xml:space="preserve">Cancelación de Saldos por $1,930.96 SSIO/DA/387/2015 </t>
    </r>
  </si>
  <si>
    <t xml:space="preserve">015.- Xochitlán </t>
  </si>
  <si>
    <t>AD-004-2014</t>
  </si>
  <si>
    <t>13-ZR-0414-2014</t>
  </si>
  <si>
    <t xml:space="preserve">Sustitución de la Línea de Descarga de Aguas Residuales con Nueva Trayectoria Considerando Registros Sanitarios Nuevos y Fosa Séptica, Rehabilitación de Pisos de Concreto en Plaza Cívica, Andadores y Entrada Principal, Rehabilitación de Instalación Eléctrica, Secundaria Técnica No. 10 Xonakatepetl, en el Municipio de Jonacatepec. </t>
  </si>
  <si>
    <t>Jonacatepec</t>
  </si>
  <si>
    <t>AD-105-2014</t>
  </si>
  <si>
    <t>SH/1288-2/2014</t>
  </si>
  <si>
    <t>23-ZU-0478-2014</t>
  </si>
  <si>
    <t xml:space="preserve">Rehabilitación de Sanitarios y Rehabilitación de Pisos de Concreto en Cancha de Usos Múltiples en Primaria Sangre de Héroes y/o Otilio Monaño, Municipio de Tlalnepantla </t>
  </si>
  <si>
    <t>AD-211-2014</t>
  </si>
  <si>
    <t>SH/1276-2/2014</t>
  </si>
  <si>
    <t>20-ZU-0476-2014</t>
  </si>
  <si>
    <t>Rehabilitación General de Sanitarios Impermeabilización General de Edificio (570 m2), Rehabilitación General de Instalación Eléctrica, Alimentación Eléctrica Independiente en Aula de Cómputo, Construcción de Cisterna en Jardín de Niños Beatriz Ordoñez Acuña, Municipio de Tepoztlán</t>
  </si>
  <si>
    <t>Santa Catarina de la Cruz</t>
  </si>
  <si>
    <t>AD-115-2014</t>
  </si>
  <si>
    <t>10-ZR-0481-2014</t>
  </si>
  <si>
    <t>Rehabilitación General de Sanitarios Primaria Tte. Gral. Mariano Matamoros, en el Municipio de Jantetelco</t>
  </si>
  <si>
    <t>Mariano Matamoros</t>
  </si>
  <si>
    <t>AD-113-2014</t>
  </si>
  <si>
    <t>70 dias</t>
  </si>
  <si>
    <t>21-ZR-0420-2014</t>
  </si>
  <si>
    <t>Rehabilitación General de Sanitarios Construcción de Red Sanitaria, Fosa Séptica y Escaleras de Emergencia para Primaria Benito Juárez y/o Ignacio Ramírez</t>
  </si>
  <si>
    <t>Tetecala</t>
  </si>
  <si>
    <t>AD-086-2014</t>
  </si>
  <si>
    <t>30-ZU-0504-2014</t>
  </si>
  <si>
    <t>Estudio para la Realización del Proyecto Ejecutivo para la Construcción de un Centro de Reinserción Social de Mediana Seguridad, y un Estudio Análisis Costo Beneficio (Eficiencia)   (LA OBRA SE CANCELÓ CON OFICIO SH-2349-2-2014)</t>
  </si>
  <si>
    <t>CONVENIOS FEDERALES (FONDO NACIONAL DE INFRAESTRUCTURA (FONADIN) 2014)</t>
  </si>
  <si>
    <t>Yecapixtla</t>
  </si>
  <si>
    <t>AD-120-2014</t>
  </si>
  <si>
    <t>SH/1340-2/2014
SSP/DGPGP/1140-JM/2014
SH-2349-2-2014</t>
  </si>
  <si>
    <t>28/08/2014
02/10/2014
31/12/2014</t>
  </si>
  <si>
    <t>16-ZR-0331-2014</t>
  </si>
  <si>
    <t xml:space="preserve">Construcción de Un Aula Didáctica de 6.00 X 8.0 metros en Estructura RC Telesecundaria Lic. Alfonso García Robles </t>
  </si>
  <si>
    <t>Huecapalco</t>
  </si>
  <si>
    <t>AD-094-2014</t>
  </si>
  <si>
    <t>50 DIAS</t>
  </si>
  <si>
    <t>07-ZU-0377-2014</t>
  </si>
  <si>
    <t>Construcción de Edificio de la Facultad de Artes (3a. Etapa)</t>
  </si>
  <si>
    <t>BANORTE
0207068401</t>
  </si>
  <si>
    <t>RAMO 33 FONDO 5 FAM SUPERIOR 2014</t>
  </si>
  <si>
    <t>LPE-004-2014</t>
  </si>
  <si>
    <t>SH/1278-2/2014</t>
  </si>
  <si>
    <t>195 DIAS</t>
  </si>
  <si>
    <t>30-ZR-0330-2014</t>
  </si>
  <si>
    <t>Construcción de Un Aula Didáctica de 6.00 X 8.0 metros en Estructura RC para la Telesecundaria "Niños Héroes"</t>
  </si>
  <si>
    <t>030.- Yecapixtla</t>
  </si>
  <si>
    <t>AD-179-2014</t>
  </si>
  <si>
    <t>18-ZU-0444-2014</t>
  </si>
  <si>
    <t>1a. Etapa de la Reparación de Instalación Eléctrica (Redes Generales Exteriores y Tablero Principal) Desazolve de Fosa Séptica, Rehabilitación de Sanitarios de 6.00 X 8.00 mts. Secundaria Técnica No. 4</t>
  </si>
  <si>
    <t>Azteca</t>
  </si>
  <si>
    <t>IR-130-2014</t>
  </si>
  <si>
    <t>07-ZU-0430-2014</t>
  </si>
  <si>
    <t xml:space="preserve">Acondicionamiento del Cine Ambiental del Centro Cultural para la Sustentabilidad </t>
  </si>
  <si>
    <t>SS.- PROTECCIÓN Y PRESERVACIÓN ECOLÓGICA</t>
  </si>
  <si>
    <t>21.- Conservación</t>
  </si>
  <si>
    <t>Chapultepec</t>
  </si>
  <si>
    <t>AD-015-2015</t>
  </si>
  <si>
    <t>SH-1787-2-2014</t>
  </si>
  <si>
    <t>3% iNDIRECTOS</t>
  </si>
  <si>
    <t>02-ZR-0440-2014</t>
  </si>
  <si>
    <t>Construcción de 4 aulas Didácticas en Estructura U-2C, Sala de Reuniones, Dirección, Barda Perimetral y Andadores en Telesecundaria "Miguel Hidalgo", en el Municipio de Atlatlahucan</t>
  </si>
  <si>
    <t>02.- Atlatlahucan</t>
  </si>
  <si>
    <t xml:space="preserve">Atlatlahucan </t>
  </si>
  <si>
    <t>IR-072-2014</t>
  </si>
  <si>
    <t>11-ZU-0482-2014</t>
  </si>
  <si>
    <t>Construcción de Aula Didáctica de 6.00 X 8.00 Mts. En Estructura RC, Reparación de Plafones en Telesecundaria 5 de Febrero, en el municipio de Jiutepec</t>
  </si>
  <si>
    <t>Progreso</t>
  </si>
  <si>
    <t>AD-114-2014</t>
  </si>
  <si>
    <t>29-ZU-0497-2014</t>
  </si>
  <si>
    <t>Construcción de Edificio Administrativo y Cooperativa Escolar en Secundaria General Profr. Moisés Sáenz Garza en el Municipio de Yautepec</t>
  </si>
  <si>
    <t>IR-141-2014</t>
  </si>
  <si>
    <t>SH/1356-2/2014</t>
  </si>
  <si>
    <t>06-ZU-0505-2014</t>
  </si>
  <si>
    <t>Rehabilitación Integral de Canchas Deportivas de la Unidad Deportiva José María Morelos y Pavón de la Colonia Gabriel Tepepa en Poligono 2</t>
  </si>
  <si>
    <t>Gabriel Tepepa</t>
  </si>
  <si>
    <t>IR-062-2014</t>
  </si>
  <si>
    <t>SH/1308-2/2014</t>
  </si>
  <si>
    <t>11-ZU-0508-2014</t>
  </si>
  <si>
    <t>Sustitución de Sanitarios Atípicos por un Módulo de 6.00 X 8.00 ts. En estructura RC, en Primaria Eliseo Aragón</t>
  </si>
  <si>
    <t>Atlacomulco</t>
  </si>
  <si>
    <t>AD-121-2014</t>
  </si>
  <si>
    <t>SH/1384-2/2014</t>
  </si>
  <si>
    <t>SH/1367-2/2014</t>
  </si>
  <si>
    <t>02-ZR-0479-2014</t>
  </si>
  <si>
    <t xml:space="preserve">Construcción de Aula Didáctica en Estructura R-C Módulo  6X8 M Para la Primaria Emiliano Zapata </t>
  </si>
  <si>
    <t xml:space="preserve">Lomas de Cocoyoc </t>
  </si>
  <si>
    <t>AD-082-2014</t>
  </si>
  <si>
    <t>Est. 4 Fin. Penalización por $7,031.15</t>
  </si>
  <si>
    <t>07-ZU-0375-2014</t>
  </si>
  <si>
    <t>Quinta Etapa de Construcción de la Planta Física de Psicología (Edificio "D")</t>
  </si>
  <si>
    <t>LPE-003-2014</t>
  </si>
  <si>
    <t>205 DIAS</t>
  </si>
  <si>
    <t>18-ZU-0512-2014</t>
  </si>
  <si>
    <t xml:space="preserve">Barda Perimetral del Plantel CONALEP, Temixco </t>
  </si>
  <si>
    <t>PIPE 45.- FONDEN 2013</t>
  </si>
  <si>
    <t>AD-118-2014</t>
  </si>
  <si>
    <t>SH/1363-2/2014</t>
  </si>
  <si>
    <t>35 DIAS</t>
  </si>
  <si>
    <t>12-ZU-0524-2014</t>
  </si>
  <si>
    <t xml:space="preserve">Arcotecho en la Parte Posterior del Auditorio Juan Antonio Tlaxcoapan, Municipio de Jojutla </t>
  </si>
  <si>
    <t xml:space="preserve">Jojutla de Juárez Centro </t>
  </si>
  <si>
    <t>IR-093-2014</t>
  </si>
  <si>
    <t>80 dias</t>
  </si>
  <si>
    <t>11-ZU-0498-2014</t>
  </si>
  <si>
    <t>Alimentación Eléctrica Idependiente para el Taller de Electricidad y Ofimática, Colocación de Lámparas en la Tecumbre, Rehabilitación de Sanitarios en la Secundari Técnica No. 22 Ing. César Uscanga Uscanga en el Municipio de Jiutepec</t>
  </si>
  <si>
    <t xml:space="preserve"> Tejalpa</t>
  </si>
  <si>
    <t>AD-110-2014</t>
  </si>
  <si>
    <t>27-ZR-0499-2014</t>
  </si>
  <si>
    <t>Primera Etapa para la Costrucción de Barda Perimetral, Escuela Primaria Miguel Hidalgo en el Municipio de Totolapan</t>
  </si>
  <si>
    <t>La Cañada</t>
  </si>
  <si>
    <t>AD-154-2014</t>
  </si>
  <si>
    <t>40 dias</t>
  </si>
  <si>
    <t>11-ZR-0528-2014</t>
  </si>
  <si>
    <t>Techumbre en Plaza Solidaridad de la Ayudantía Municipal de la Col. Atenatitlán Municipio de Jiutepec (Cancelación de Centavos según Oficio DA/159/2015)</t>
  </si>
  <si>
    <t>Agüero (2da. Etapa)</t>
  </si>
  <si>
    <t xml:space="preserve">Atenatitlán </t>
  </si>
  <si>
    <t>IR-079-2014</t>
  </si>
  <si>
    <t>07-ZU-0525-2014</t>
  </si>
  <si>
    <r>
      <t xml:space="preserve">Techumbre Metálica para la Cancha de Usos Múltiples 1era. Sección, Col. Ampliación Chulavista, Cuernavaca. </t>
    </r>
    <r>
      <rPr>
        <b/>
        <sz val="6"/>
        <rFont val="Arial"/>
        <family val="2"/>
      </rPr>
      <t>Cancelación de Saldos por $36,557.13 SSIO/DA/389/2015</t>
    </r>
  </si>
  <si>
    <t>Porcayo</t>
  </si>
  <si>
    <t>Chulavista</t>
  </si>
  <si>
    <t>IR-076-2014</t>
  </si>
  <si>
    <t>SH/1367-2/2014
SH-2043-2-2015</t>
  </si>
  <si>
    <t>01/09/2014
09/10/2015</t>
  </si>
  <si>
    <t>11-ZR-0517-2014</t>
  </si>
  <si>
    <t xml:space="preserve">Techumbre en Cancha de Usos Múltiples, en la Unidad Deportiva La Campestre Municipio de Jiutepec </t>
  </si>
  <si>
    <t>Campestre</t>
  </si>
  <si>
    <t>IR-080-2014</t>
  </si>
  <si>
    <t>SH/1348-2/2014</t>
  </si>
  <si>
    <t>HONORARIOS</t>
  </si>
  <si>
    <t>03-ZU-0893-2012</t>
  </si>
  <si>
    <t>Suministro y Colocación de la Planta Purificadora para el CBTA 129</t>
  </si>
  <si>
    <t>BBVA BANCOMER
0194069382</t>
  </si>
  <si>
    <t xml:space="preserve">CONVENIOS FEDERALES               30.- APOYO PLANTELES DE EDUCACIÓN MEDIA SUPERIOR INFRAESTRUCTURA 2012 </t>
  </si>
  <si>
    <t>AD-225-2014</t>
  </si>
  <si>
    <t>SH/2082-2/2014</t>
  </si>
  <si>
    <t>20-ZR-0509-2014</t>
  </si>
  <si>
    <t>Construcción de 2 Aulas Didácticas de 2 EE en Estructura U1-C, para Secundaria General Telpochcalli</t>
  </si>
  <si>
    <t>Santiago Tepetlapa</t>
  </si>
  <si>
    <t>IR-077-2014</t>
  </si>
  <si>
    <t>06-ZR-0502-2014</t>
  </si>
  <si>
    <t xml:space="preserve">Instalación de Casetas Seguras en Poligono 1 y 2 </t>
  </si>
  <si>
    <t>varias Localidades</t>
  </si>
  <si>
    <t>AD-109-2014</t>
  </si>
  <si>
    <t>SH/1405-2/2014</t>
  </si>
  <si>
    <t>COMPROBADO 02/09/2015</t>
  </si>
  <si>
    <t>28-ZR-0500-2014</t>
  </si>
  <si>
    <r>
      <t xml:space="preserve">Modernización del Centro de Convenciones WTC </t>
    </r>
    <r>
      <rPr>
        <b/>
        <sz val="6"/>
        <rFont val="Arial"/>
        <family val="2"/>
      </rPr>
      <t>Cancelación de Saldos por $49,683.66 SSIO/DA/389/2015</t>
    </r>
  </si>
  <si>
    <t>IR-087-2014</t>
  </si>
  <si>
    <t>SH/1383-2/2014
SH-2043-2-2015</t>
  </si>
  <si>
    <t>03/09/2014
09/10/2015</t>
  </si>
  <si>
    <t>11-ZR-0510-2014</t>
  </si>
  <si>
    <t>Reconstrucción de Barda Perimetral y Reubicación del Portón Principal en la Primaria Miguel Hidalgo</t>
  </si>
  <si>
    <t>AD-122-2014</t>
  </si>
  <si>
    <t>07-ZU-0532-2014</t>
  </si>
  <si>
    <t xml:space="preserve">Rehabilitación de la Antigua Estación del Ferrocarril en Cuernavaca </t>
  </si>
  <si>
    <t xml:space="preserve">Patios de la Estación </t>
  </si>
  <si>
    <t>LPF-017-2014</t>
  </si>
  <si>
    <t>SH-1609-2-2014</t>
  </si>
  <si>
    <t>11-ZR-0511-2014</t>
  </si>
  <si>
    <t>Construcción de Barda Perimetral, Portón de Acceso Metálico, Cisterna, Rehabilitación de Instalación Hidráulica en Sanitarios y Barra de Protección en Primaria Alfonso Ruiz Rodríguez</t>
  </si>
  <si>
    <t>AD-123-2014</t>
  </si>
  <si>
    <t>SH/1406-2/2014</t>
  </si>
  <si>
    <t>07-ZU-0539-2014</t>
  </si>
  <si>
    <t xml:space="preserve">Techumbre Metálica en Unidad Deportiva Ejido de Chipitlán Col. Chipitlán, Cuernavaca. </t>
  </si>
  <si>
    <t>Chipitlán</t>
  </si>
  <si>
    <t>IR-084-2014</t>
  </si>
  <si>
    <t>SH-1502-2-2014</t>
  </si>
  <si>
    <t>07-ZU-0393-2014</t>
  </si>
  <si>
    <t>Imagen Urbana en el Centro Histórico (Calle Ricardo Linares y Calle Vicente Guerrero) en Cuernavaca, Morelos</t>
  </si>
  <si>
    <t>INTERACCIONES
300144240</t>
  </si>
  <si>
    <t>CONVENIOS FEDERALES 2014</t>
  </si>
  <si>
    <t>16.- Infraestrucutra Urbana</t>
  </si>
  <si>
    <t>LPF-007-2014</t>
  </si>
  <si>
    <t>SH-1831-2-2014</t>
  </si>
  <si>
    <t>180 DIAS</t>
  </si>
  <si>
    <t>Penalización Est. 7 por $25,443.98 reintegro de penalización por $1,231.00 y pago 5 al millar por $105.00</t>
  </si>
  <si>
    <t>AD-274-2014</t>
  </si>
  <si>
    <t>RECURSOS PROPIOS SEDECO</t>
  </si>
  <si>
    <t>Desarrollo Industrial Verde Yecapixtla Etapa Uno</t>
  </si>
  <si>
    <t>Parque Industrial</t>
  </si>
  <si>
    <t>AD-132-2014</t>
  </si>
  <si>
    <t xml:space="preserve">Convenio de Colaboración </t>
  </si>
  <si>
    <t>300 dias</t>
  </si>
  <si>
    <t>27-ZR-0518-2014</t>
  </si>
  <si>
    <t>Rehabilitaciòn de Sanitarios Rehabilitaciòn de Instalaciòn Elèctrica, Reparaciones Varias y Construcciòn de Barda Perimetral en Primaria Benito Juàrez</t>
  </si>
  <si>
    <t>Nicolàs Zapata</t>
  </si>
  <si>
    <t>AD-116-2014</t>
  </si>
  <si>
    <t>11-ZU-0938-2013</t>
  </si>
  <si>
    <t>Techumbre en Plaza Cìvica de la Telesecundaria 5 de Febrero en la Col. Progreso Municipio de Jiutepec</t>
  </si>
  <si>
    <t>RAMO 33 FONDO 51 FAM BASICO  2013</t>
  </si>
  <si>
    <t>IR-081-2014</t>
  </si>
  <si>
    <t>SH/1407-2/2014</t>
  </si>
  <si>
    <t>07-ZU-0939-2013</t>
  </si>
  <si>
    <r>
      <t xml:space="preserve">Techumbre Metàlica e Secundaria Tècnica NO. 45 Col. Chapultepec, Cuernavaca </t>
    </r>
    <r>
      <rPr>
        <b/>
        <sz val="6"/>
        <rFont val="Arial"/>
        <family val="2"/>
      </rPr>
      <t>(Oficio de Cancelación SH/0799-2015 de fecha 27 de Abril del 2015 por $31,083.59)</t>
    </r>
  </si>
  <si>
    <t>7,- Cuernavaca</t>
  </si>
  <si>
    <t>Col. Chapultepec</t>
  </si>
  <si>
    <t>IR-075-2014</t>
  </si>
  <si>
    <t>23-ZR-0477-2014</t>
  </si>
  <si>
    <t>Rehabilitaciòn de Pisos de Concreto en Plaza Cìvica de la Escuela Secundaria General Quetzalcoatl, Municipio de Tlalnepantla</t>
  </si>
  <si>
    <t>23,- Tlalnepantla</t>
  </si>
  <si>
    <t>AD-100-2014</t>
  </si>
  <si>
    <t>SH-1276-2-2014</t>
  </si>
  <si>
    <t>12-ZU-0892-2012</t>
  </si>
  <si>
    <t xml:space="preserve">Puesta en Marcha de Planta de Tratamiento en la Secundaria General Benito Juàrez Ubicada en el Municipio de Jojutla, Morelos </t>
  </si>
  <si>
    <t>BANORTE
0802783846</t>
  </si>
  <si>
    <t>RAMO 33 FONDO 24 FAM BASICO 2012</t>
  </si>
  <si>
    <t>12,- Jojutla</t>
  </si>
  <si>
    <t>AD-057-2014</t>
  </si>
  <si>
    <t>SH/1289-2/2014</t>
  </si>
  <si>
    <t>03-ZU-0520-2014</t>
  </si>
  <si>
    <r>
      <t xml:space="preserve">Remodelación del Módulo denominado La Torre Axochiapan </t>
    </r>
    <r>
      <rPr>
        <b/>
        <sz val="6"/>
        <rFont val="Arial"/>
        <family val="2"/>
      </rPr>
      <t>Cancelación de Saldos por $9,676.95 SSIO/DA/375/2015</t>
    </r>
  </si>
  <si>
    <t>AD-200-2014</t>
  </si>
  <si>
    <t>SH/1586-2/2014  SH/2130-2/2014
SH-1978-2-2015</t>
  </si>
  <si>
    <t>24/09/2014 02-12-2014
02/10/2015</t>
  </si>
  <si>
    <t>01-ZU-0555-2014</t>
  </si>
  <si>
    <r>
      <t xml:space="preserve">Techumbre Esc. Secundaria José Ma. Morelos y Pavón en la Localidad de Col. Oriental de Huajintlán, Amacuzac </t>
    </r>
    <r>
      <rPr>
        <b/>
        <sz val="6"/>
        <rFont val="Arial"/>
        <family val="2"/>
      </rPr>
      <t xml:space="preserve"> (Obra Cancelada con Oficio SH-840-2-2015)</t>
    </r>
  </si>
  <si>
    <t>Alfonso Miranda</t>
  </si>
  <si>
    <t>Oriental</t>
  </si>
  <si>
    <t>SH-0840-2-2015</t>
  </si>
  <si>
    <t>Javier Bolaños</t>
  </si>
  <si>
    <t>01-ZR-0554-2014</t>
  </si>
  <si>
    <r>
      <t xml:space="preserve">Techumbre Esc. Prim. Lic. Antonio Rivapalacio López, Col. Ojo de Agua, Amacuzac   </t>
    </r>
    <r>
      <rPr>
        <b/>
        <sz val="6"/>
        <rFont val="Arial"/>
        <family val="2"/>
      </rPr>
      <t>(Obra Cancelada con Oficio SH-840-2-2015)</t>
    </r>
  </si>
  <si>
    <t>Ojo de Agua</t>
  </si>
  <si>
    <t>11-ZU-0606-2014</t>
  </si>
  <si>
    <t>Construcción de Gradas Baños Vestidores y Gimnasio al Aire Libre en Cancha de Futbol de Atlacomulco, Jiutepec</t>
  </si>
  <si>
    <t>AD-174-2014</t>
  </si>
  <si>
    <t>SH/1958-2/2014</t>
  </si>
  <si>
    <t>11-ZR-0571-2014</t>
  </si>
  <si>
    <t>Construcción de Baños y Vestidores en la Unidad Deportiva San Francisco Texcalpan, Jiutepec</t>
  </si>
  <si>
    <t>San Francisco Texcalpan</t>
  </si>
  <si>
    <t>AD-175-2014</t>
  </si>
  <si>
    <t>07-ZU-0540-2012</t>
  </si>
  <si>
    <t>Construcción de Torre de Laboratorios Física, Biógica y Quimica (4ta. Etapa) para la "Universidad Autónoma del Estado de Morelos</t>
  </si>
  <si>
    <t>RAMO 33 FONDO 5 FAM SUPERIOR PROGRAMA UAEM 2004-2008  (INTERESES)</t>
  </si>
  <si>
    <t>SJ.- INFRAESTRUCTURA EDUCATIVA</t>
  </si>
  <si>
    <t>07.- CUERNAVACA</t>
  </si>
  <si>
    <t>062.- CHAMILPA</t>
  </si>
  <si>
    <t>AD-052-2014</t>
  </si>
  <si>
    <t>SH-1737-2-2014</t>
  </si>
  <si>
    <t>RAMO 33 FONDO 5 FAM SUPERIOR 2009 (INTERESES)</t>
  </si>
  <si>
    <t xml:space="preserve">RAMO 33 FONDO 5 FAM SUPERIOR 2010 (INTERESES) </t>
  </si>
  <si>
    <t xml:space="preserve">RAMO 33 FONDO 5 FAM SUPERIOR 2012  </t>
  </si>
  <si>
    <t xml:space="preserve">RAMO 33 FONDO 5 FAM SUPERIOR 2012 (INTERESES) </t>
  </si>
  <si>
    <t>BANORTE
0811212115</t>
  </si>
  <si>
    <t xml:space="preserve">RAMO 33 FONDO 5 FAM SUPERIOR 2012 (REFRENDO)  </t>
  </si>
  <si>
    <t>SFP-1097-A-2012</t>
  </si>
  <si>
    <t>AD-055-2014</t>
  </si>
  <si>
    <t>Trabajos Complementarios para la Terminación de la Construcción del Edificio B para la Universidad Politécnica del Estado de Morelos, Jiutepec Col. Lomas del Texcal (Cancelación de Centavos FAM SUP. 2007 INTERESES, FAM SUP 2010 Y FAM SUP 2012 INTERESES según Oficio DA/159/2015)</t>
  </si>
  <si>
    <t>RAMO 33 FAM SUPERIOR 2007 (ITERESES)</t>
  </si>
  <si>
    <t xml:space="preserve">82.- Lomas del Texcal </t>
  </si>
  <si>
    <t>SH-792-2-2014</t>
  </si>
  <si>
    <t>RAMO 33 FAM SUPERIOR 2008 (INTERESES)</t>
  </si>
  <si>
    <t>RAMO 33 FAM SUPERIOR 2010</t>
  </si>
  <si>
    <t>RAMO 33 FAM SUPERIOR 2010 (INTERESES)</t>
  </si>
  <si>
    <t xml:space="preserve">RAMO 33 FAM SUPERIOR 2012 (INTERESES) </t>
  </si>
  <si>
    <t>11-ZR-0891-2013</t>
  </si>
  <si>
    <t>20-ZU-0446-2014</t>
  </si>
  <si>
    <t>Mejoramiento de Tepoztlán Pueblo Mágico</t>
  </si>
  <si>
    <t>Tepoztlán Centro</t>
  </si>
  <si>
    <t>AD-124-2014</t>
  </si>
  <si>
    <t>28-ZR-0614-2014</t>
  </si>
  <si>
    <r>
      <t xml:space="preserve">Oficinas de la Coordinación Estatal de Reinserción Social </t>
    </r>
    <r>
      <rPr>
        <b/>
        <sz val="6"/>
        <rFont val="Arial"/>
        <family val="2"/>
      </rPr>
      <t>(Cancelación  de recurso por $16,344.87 SH-0729-2-2015)</t>
    </r>
  </si>
  <si>
    <t>IR-106-2014</t>
  </si>
  <si>
    <t>SH-1734-2-2014
SH-0729-2-2015</t>
  </si>
  <si>
    <t>17/10/2014
17/04/2015</t>
  </si>
  <si>
    <t>15-ZR-0641-2014</t>
  </si>
  <si>
    <t>Rehabilitación de Parque en la Col. Rodeo, Municipio de Miacatlán (Obra Cancelada con Oficio SH-840-2-2015)</t>
  </si>
  <si>
    <t>16.- Obras de Servicio</t>
  </si>
  <si>
    <t>El Rodeo</t>
  </si>
  <si>
    <r>
      <t xml:space="preserve">Rehabilitación del Taller de Electrónica para el CECyTE 01, Tenextepango  </t>
    </r>
    <r>
      <rPr>
        <b/>
        <sz val="6"/>
        <rFont val="Arial"/>
        <family val="2"/>
      </rPr>
      <t xml:space="preserve">Cancelación de Saldos por $599.91 SSIO/DA/346/2015 </t>
    </r>
  </si>
  <si>
    <t>R-33 F-8  21.- (FAFEF 2009)</t>
  </si>
  <si>
    <t>AD-135-2014</t>
  </si>
  <si>
    <t>SH/1738-2/2014
SH-1926-2-2015</t>
  </si>
  <si>
    <t>20/10/2014
23/09/2015</t>
  </si>
  <si>
    <t>07-ZU-0951-2013</t>
  </si>
  <si>
    <r>
      <t>Construcción de Techumbre en el Jardín de Niños Estado de Morelos Cuernavaca</t>
    </r>
    <r>
      <rPr>
        <b/>
        <sz val="6"/>
        <rFont val="Arial"/>
        <family val="2"/>
      </rPr>
      <t xml:space="preserve"> (Oficio de Cancelación SH/0799-2015 de fecha 27 de Abril del 2015 por $17,507.91) </t>
    </r>
  </si>
  <si>
    <t>Maria Teresa</t>
  </si>
  <si>
    <t>Las Granjas</t>
  </si>
  <si>
    <t>AD-134-2014</t>
  </si>
  <si>
    <t>SH/1782-2/2014</t>
  </si>
  <si>
    <t>06-ZR-0613-2014</t>
  </si>
  <si>
    <t>4DZP17013507</t>
  </si>
  <si>
    <r>
      <t xml:space="preserve">Construcción de 3200 mt2 de Piso Firme para 100 viviendas </t>
    </r>
    <r>
      <rPr>
        <b/>
        <sz val="6"/>
        <rFont val="Arial"/>
        <family val="2"/>
      </rPr>
      <t>Reintegro de saldo por $3,247.17 DGOP/1526/2015</t>
    </r>
  </si>
  <si>
    <t>SCOTIABANK INVERLAT 03902353326</t>
  </si>
  <si>
    <t>CONVENIOS FEDERALES 24.- ZONAS PRIORITARIAS 2014</t>
  </si>
  <si>
    <t>SH.- Vivienda Digna</t>
  </si>
  <si>
    <t>IR-085-2014</t>
  </si>
  <si>
    <t>SH/1735-2/2014</t>
  </si>
  <si>
    <t>11-ZR-0610-2014</t>
  </si>
  <si>
    <t>4DZP17013706</t>
  </si>
  <si>
    <r>
      <t xml:space="preserve">Construcción de 100 pisos firmes en 100 viviendas (se reclasificaron de PIPE a FAFEF) </t>
    </r>
    <r>
      <rPr>
        <b/>
        <sz val="6"/>
        <rFont val="Arial"/>
        <family val="2"/>
      </rPr>
      <t>Reintegro de saldo por $3,247.17 DGOP/1526/2015</t>
    </r>
  </si>
  <si>
    <t>SH/1735-2/2014
SH-1824-2-2014</t>
  </si>
  <si>
    <t>17/10/2014
30/10/2014</t>
  </si>
  <si>
    <t>29-ZR-0622-2014</t>
  </si>
  <si>
    <t>4DZP17013559</t>
  </si>
  <si>
    <r>
      <t xml:space="preserve">Construcción de 1600 mt2 de piso firme para 50 viviendas (se reclasificaron de PIPE a FAFEF) </t>
    </r>
    <r>
      <rPr>
        <b/>
        <sz val="6"/>
        <rFont val="Arial"/>
        <family val="2"/>
      </rPr>
      <t>Reintegro de saldo por $1,746.79 DGOP/1526/2015</t>
    </r>
  </si>
  <si>
    <t>17/1014</t>
  </si>
  <si>
    <t>18-ZU-0574-2014</t>
  </si>
  <si>
    <t>4DZP17013661</t>
  </si>
  <si>
    <r>
      <t xml:space="preserve">Construcción de 1600 mt2 de piso firme a realizarse en 50 viviendas </t>
    </r>
    <r>
      <rPr>
        <b/>
        <sz val="6"/>
        <rFont val="Arial"/>
        <family val="2"/>
      </rPr>
      <t>Reintegro de saldo por $1,746.79 DGOP/1526/2015</t>
    </r>
  </si>
  <si>
    <t>Cuentepec</t>
  </si>
  <si>
    <t>16-ZU-0603-2014</t>
  </si>
  <si>
    <t>4DZP17013924</t>
  </si>
  <si>
    <r>
      <t xml:space="preserve">Construcción de Piso firme en 50 viviendas </t>
    </r>
    <r>
      <rPr>
        <b/>
        <sz val="6"/>
        <rFont val="Arial"/>
        <family val="2"/>
      </rPr>
      <t>Reintegro de saldo por $2,601.57 DGOP/1526/2015</t>
    </r>
  </si>
  <si>
    <t>Metepec</t>
  </si>
  <si>
    <t>IR-086-2014</t>
  </si>
  <si>
    <t>03-ZR-0602-2014</t>
  </si>
  <si>
    <t>4DZP17014013</t>
  </si>
  <si>
    <t>Cayehuacan</t>
  </si>
  <si>
    <t>14-ZR-0612-2014</t>
  </si>
  <si>
    <t>4DZP17013773</t>
  </si>
  <si>
    <t>Justo Sierra</t>
  </si>
  <si>
    <t>22-ZR-0618-2014</t>
  </si>
  <si>
    <t>4DZP17013736</t>
  </si>
  <si>
    <t xml:space="preserve">022.- Tetela del Volcán </t>
  </si>
  <si>
    <t>Hueyapan</t>
  </si>
  <si>
    <t>24-ZU-0443-2014</t>
  </si>
  <si>
    <t>Reparación de Fisuras en Muros y Reforzamiento de Estructura, Impermeabilización de 3 Aulas y Rehabilitación General de Red Eléctrica Interior y Exterior, Jardín de Niños Sixta Torres Contreras</t>
  </si>
  <si>
    <t>024.- Tlaltizapan</t>
  </si>
  <si>
    <t>008.- Tlaltizapan de Pacheco</t>
  </si>
  <si>
    <t>AD-097-2014</t>
  </si>
  <si>
    <t>07-ZU-0664-2014</t>
  </si>
  <si>
    <t xml:space="preserve">Rehabilitación de Techumbre de Plaza Lido, Col. Centro, Cuernavaca </t>
  </si>
  <si>
    <t>IR-018-2015</t>
  </si>
  <si>
    <t>SH-1805-2-2014</t>
  </si>
  <si>
    <t>04-ZU-0620-2014</t>
  </si>
  <si>
    <t>4DZP17013728</t>
  </si>
  <si>
    <r>
      <t xml:space="preserve">Construcción de 75 techos firmes </t>
    </r>
    <r>
      <rPr>
        <b/>
        <sz val="6"/>
        <rFont val="Arial"/>
        <family val="2"/>
      </rPr>
      <t>Reintegro de saldo por $751.71 DGOP/1522/2015</t>
    </r>
  </si>
  <si>
    <t>SCOTIABANK
03902353326</t>
  </si>
  <si>
    <t>Anenecuilco Centro</t>
  </si>
  <si>
    <t>IR-090-2014</t>
  </si>
  <si>
    <t>22-ZU-0575-2014</t>
  </si>
  <si>
    <t>4DZP17013959</t>
  </si>
  <si>
    <r>
      <t xml:space="preserve">Construcción de 75 techos firmes </t>
    </r>
    <r>
      <rPr>
        <b/>
        <sz val="6"/>
        <rFont val="Arial"/>
        <family val="2"/>
      </rPr>
      <t>Reintegro de saldo por $751.71 DGOP/1524/2015</t>
    </r>
  </si>
  <si>
    <t>27-ZU-0626-2014</t>
  </si>
  <si>
    <t>4DZP17014007</t>
  </si>
  <si>
    <t>06-ZU-0638-2014</t>
  </si>
  <si>
    <t>4DZP17013739</t>
  </si>
  <si>
    <r>
      <t xml:space="preserve">Construcción de 150 techos firmes </t>
    </r>
    <r>
      <rPr>
        <b/>
        <sz val="6"/>
        <rFont val="Arial"/>
        <family val="2"/>
      </rPr>
      <t>Reintegro de saldo por $2,462.16 DGOP/1521/2015</t>
    </r>
  </si>
  <si>
    <t xml:space="preserve">Campo Nuevo </t>
  </si>
  <si>
    <t>IR-091-2014</t>
  </si>
  <si>
    <t>29-ZR-0628-2014</t>
  </si>
  <si>
    <t>4DZP17014079</t>
  </si>
  <si>
    <r>
      <t xml:space="preserve">Construcción de 100 Techos firmes </t>
    </r>
    <r>
      <rPr>
        <b/>
        <sz val="6"/>
        <rFont val="Arial"/>
        <family val="2"/>
      </rPr>
      <t>Reintegro de saldo por $1,641.44 DGOP/1524/2015</t>
    </r>
  </si>
  <si>
    <t>029.- Yautepec</t>
  </si>
  <si>
    <t>07-ZR-0637-2014</t>
  </si>
  <si>
    <t>4DZP17013593</t>
  </si>
  <si>
    <r>
      <t xml:space="preserve">Construcción de 300 techos firmes </t>
    </r>
    <r>
      <rPr>
        <b/>
        <sz val="6"/>
        <rFont val="Arial"/>
        <family val="2"/>
      </rPr>
      <t>Reintegro de saldo por $2,883.30 DGOP/1524/2015</t>
    </r>
  </si>
  <si>
    <t>IR-089-2014</t>
  </si>
  <si>
    <t>17-ZU-0596-2014</t>
  </si>
  <si>
    <t>Demolición y Construcción de Primera Etapa (3 aulas didácticas, cooperativa, bodega en estructura U1) Esc. Sec.  "Vicente Guerrero" Puente de Ixtla</t>
  </si>
  <si>
    <t xml:space="preserve">San José Vista Hermosa </t>
  </si>
  <si>
    <t>IR-103-2014</t>
  </si>
  <si>
    <t>SH/1732-2/2014</t>
  </si>
  <si>
    <t xml:space="preserve">90 DÍAS </t>
  </si>
  <si>
    <t>31-ZR-0578-2014</t>
  </si>
  <si>
    <t>Demolición y Sustitución de Barda Perimetral de la Colindancia Norte (50.00 m) Considerando una Tala de 2 árboles demolición de un tanque elevado de 3.00X4.00 metros, impermabilización de zoteas (642.00 m2) Rehabilitación General de Instalación Eléctrica con linea indepediente al aula de cómputo, primaria Vicente Guerrero, Zacatepec</t>
  </si>
  <si>
    <t>Tetelpa</t>
  </si>
  <si>
    <t>IR-102-2014</t>
  </si>
  <si>
    <t>30-ZR-0950-2013</t>
  </si>
  <si>
    <t>Construcción de Techumbre Autosoportante para la plaza cívica de 1.50 X 35.70 mts. Esc. Prim. Vicente Guerrero en Yecapixtla (2da. Etapa)</t>
  </si>
  <si>
    <t>Angel Garcia Yañez</t>
  </si>
  <si>
    <t>Los Reyes</t>
  </si>
  <si>
    <t>AD-215-2014</t>
  </si>
  <si>
    <t>SH/2231-2/2014</t>
  </si>
  <si>
    <t>32-ZR-0948-2013</t>
  </si>
  <si>
    <t>Construcción de Techumbre Autosoportante para la plaza cívica de 19.00 X 28.50 mts. Sec. Técnica No. 12 Zacualpan de Amilpas (2da. Etapa)</t>
  </si>
  <si>
    <t>032.- Zacualpan</t>
  </si>
  <si>
    <t>Zacualpan de Amilpas</t>
  </si>
  <si>
    <t>AD-214-2014</t>
  </si>
  <si>
    <t>11-ZU-0949-2013</t>
  </si>
  <si>
    <r>
      <t xml:space="preserve">Techumbre en Plaza Cívica de la Primaria Matutina Lázaro Cárdenas, en la Col. Paraíso Municipio de Jiutepec  </t>
    </r>
    <r>
      <rPr>
        <b/>
        <sz val="6"/>
        <rFont val="Arial"/>
        <family val="2"/>
      </rPr>
      <t>Cancelación de saldos por $3,659.68 SSIO/DA/360/2015</t>
    </r>
  </si>
  <si>
    <t>El Paraíso</t>
  </si>
  <si>
    <t>IR-150-2014</t>
  </si>
  <si>
    <t>SH/1731-2/2014
SH-1926-2-2015</t>
  </si>
  <si>
    <t>17/10/2014
23/09/2015</t>
  </si>
  <si>
    <t>06-ZU-0429-2014</t>
  </si>
  <si>
    <t>Colocación de Pisos en 2 Aulas, Cambio de Puertas y Cancelería Primaria 2 de Mayo de 1812 en el Municipio de Cuautla</t>
  </si>
  <si>
    <t>AD-076-2014</t>
  </si>
  <si>
    <t>29-ZU-0416-2014</t>
  </si>
  <si>
    <t>Rehabilitación de Plaza Cívica y Construcción de Barda Perimetral, Jardín de Niños Juventino Pineda Enriquez, en el Municipio de Yautepec</t>
  </si>
  <si>
    <t xml:space="preserve">Oaxtepec </t>
  </si>
  <si>
    <t>AD-090-2014</t>
  </si>
  <si>
    <t>12-ZU-0417-2014</t>
  </si>
  <si>
    <t>Construcción de Sanitarios de 6.00 X 8.00 metros en Estructura RC Primaria 10 de Abril, en el Municipio de Jojutla</t>
  </si>
  <si>
    <t>AD-091-2014</t>
  </si>
  <si>
    <t>25-ZU-0415-2014</t>
  </si>
  <si>
    <t>Construcción de una Aula didáctica de 6.00 X 8.00 mts. Y (1ra. Etapa) Bodega de 3.00 X 8.00 mts. En Estructura R.C. Esc. Pim. "Lauro Ortega Martínez", Municipio de Tlaquiltenango</t>
  </si>
  <si>
    <t>Antonio Rivapalacio</t>
  </si>
  <si>
    <t>AD-128-2014</t>
  </si>
  <si>
    <t>30-ZR-0438-2014</t>
  </si>
  <si>
    <t>Construcción de un Aula Didáctica de 6.00 X 8.00 Metros en Estructura RC, Primaria "Amado Nervo"</t>
  </si>
  <si>
    <t>Achichipico</t>
  </si>
  <si>
    <t>AD-259-2014</t>
  </si>
  <si>
    <t>s/n</t>
  </si>
  <si>
    <t>04.- CONSTRUCCIÓN, REHABILITACIÓN Y EQUIPAMIENTO DE PLANTELES DE EDUCACIÓN SUPERIOR</t>
  </si>
  <si>
    <t>20/20/2014</t>
  </si>
  <si>
    <t>15-ZR-0663-2014</t>
  </si>
  <si>
    <t>4DZP17032972</t>
  </si>
  <si>
    <r>
      <t xml:space="preserve">Construcción de Piso Firme </t>
    </r>
    <r>
      <rPr>
        <b/>
        <sz val="6"/>
        <rFont val="Arial"/>
        <family val="2"/>
      </rPr>
      <t>Reintegro de saldo por $715.62 DGOP/1521/2015</t>
    </r>
  </si>
  <si>
    <t>Coatetelco</t>
  </si>
  <si>
    <t>AD-160-2014</t>
  </si>
  <si>
    <t>SH/1815-2/2014</t>
  </si>
  <si>
    <t>25 DIAS</t>
  </si>
  <si>
    <t>17-ZU-0662-2014</t>
  </si>
  <si>
    <t>4DZP17032978</t>
  </si>
  <si>
    <r>
      <t xml:space="preserve">Construcción de Piso Firme </t>
    </r>
    <r>
      <rPr>
        <b/>
        <sz val="6"/>
        <rFont val="Arial"/>
        <family val="2"/>
      </rPr>
      <t>Reintegro de saldo por $739.41 DGOP/1523/2015</t>
    </r>
  </si>
  <si>
    <t>XOXOCOTLA</t>
  </si>
  <si>
    <t>05-ZR-0688-2014</t>
  </si>
  <si>
    <t>4DZP17033025</t>
  </si>
  <si>
    <t>Construcción de 1920.00 m2 de Piso Firme</t>
  </si>
  <si>
    <t>05.- Coatlán del Rio</t>
  </si>
  <si>
    <t>Chavarria</t>
  </si>
  <si>
    <t>19-ZR-0686-2014</t>
  </si>
  <si>
    <t>4DZP17032987</t>
  </si>
  <si>
    <r>
      <t xml:space="preserve">Construccion de 3,200 m2 de Piso Firme </t>
    </r>
    <r>
      <rPr>
        <b/>
        <sz val="6"/>
        <rFont val="Arial"/>
        <family val="2"/>
      </rPr>
      <t>Reintegro de saldo por $715.39 DGOP/1523/2015</t>
    </r>
  </si>
  <si>
    <t>Tepalcingo</t>
  </si>
  <si>
    <t>22-ZR-0694-2014</t>
  </si>
  <si>
    <t>4DZP17033004</t>
  </si>
  <si>
    <t xml:space="preserve">Construcción de 3232.00 m2 de Piso Firme </t>
  </si>
  <si>
    <t>AD-159-2014</t>
  </si>
  <si>
    <t>26-ZR-0693-2014</t>
  </si>
  <si>
    <t>4DZP17033040</t>
  </si>
  <si>
    <r>
      <t xml:space="preserve">Construcción de 1920.00 m2 de Piso Firme </t>
    </r>
    <r>
      <rPr>
        <b/>
        <sz val="6"/>
        <rFont val="Arial"/>
        <family val="2"/>
      </rPr>
      <t>Reintegro de saldo por $620.68 DGOP/1523/2015</t>
    </r>
  </si>
  <si>
    <t xml:space="preserve">San José de los Laureles </t>
  </si>
  <si>
    <t>16-ZR-0687-2014</t>
  </si>
  <si>
    <t>4DZP17033052</t>
  </si>
  <si>
    <r>
      <t xml:space="preserve">Construcción de 480.00 m2 de Piso Firme </t>
    </r>
    <r>
      <rPr>
        <b/>
        <sz val="6"/>
        <rFont val="Arial"/>
        <family val="2"/>
      </rPr>
      <t>Reintegro de saldo por $152.26 DGOP/1523/2015</t>
    </r>
  </si>
  <si>
    <t>Jumiltepec</t>
  </si>
  <si>
    <t>03-ZR-0739-2014</t>
  </si>
  <si>
    <t>4DZP17032851</t>
  </si>
  <si>
    <r>
      <t xml:space="preserve">Construcción de 4000 M2 de Piso Firme en Axochiapan, Axochiapan </t>
    </r>
    <r>
      <rPr>
        <b/>
        <sz val="6"/>
        <rFont val="Arial"/>
        <family val="2"/>
      </rPr>
      <t>Reintegro de saldo por $1,428.13 DGOP/1523/2015</t>
    </r>
  </si>
  <si>
    <t>SH-2156-2-2014</t>
  </si>
  <si>
    <t>18-ZU-0633-2014</t>
  </si>
  <si>
    <t>170181ME018</t>
  </si>
  <si>
    <r>
      <t xml:space="preserve">Alumbrado Público en la Calle Profra. Aurora Palacios, Emiliano Zapata Amapola E Iztaccihuatl </t>
    </r>
    <r>
      <rPr>
        <b/>
        <sz val="6"/>
        <rFont val="Arial"/>
        <family val="2"/>
      </rPr>
      <t>(Reintegro de Convenios por $2,430.40 DGOP/0679/2015 24/04/15) Cancelación de saldos por $1,620.27 SSIO/DA/459/2015 FAFEF</t>
    </r>
  </si>
  <si>
    <t>REINTEGRO</t>
  </si>
  <si>
    <t>SANTANDER
65504578732</t>
  </si>
  <si>
    <t>CONVENIOS FEDERALES 22.- HABITAT 2014</t>
  </si>
  <si>
    <t>IR-126-2014</t>
  </si>
  <si>
    <t>SH/1829-2/2014</t>
  </si>
  <si>
    <t>SH/1829-2/2014
SH-2220-2-2015</t>
  </si>
  <si>
    <t>30/10/2014
12/11/2015</t>
  </si>
  <si>
    <t>SF.- Pavimentación</t>
  </si>
  <si>
    <t>SH-1934-2-2014</t>
  </si>
  <si>
    <t>18-ZU-0634-2014</t>
  </si>
  <si>
    <t>170181ME017</t>
  </si>
  <si>
    <r>
      <t xml:space="preserve">Alumbrado Público en la Calle Netzahualcoyotl Alta Tension y Tonatzin </t>
    </r>
    <r>
      <rPr>
        <b/>
        <sz val="6"/>
        <rFont val="Arial"/>
        <family val="2"/>
      </rPr>
      <t>(Reintegro de Convenios por $4,021.12 DGOP/0679/2015 24/04/15)</t>
    </r>
  </si>
  <si>
    <t>07-ZR-0679-2014</t>
  </si>
  <si>
    <t>4DZP17033216</t>
  </si>
  <si>
    <t xml:space="preserve">Construcción de 8 Bodegas </t>
  </si>
  <si>
    <t xml:space="preserve">07.- Cuernavaca </t>
  </si>
  <si>
    <t xml:space="preserve">Buena Vista del Monte </t>
  </si>
  <si>
    <t>IR-100-2014</t>
  </si>
  <si>
    <t>26-ZR-0681-2014</t>
  </si>
  <si>
    <t>4DZP17033539</t>
  </si>
  <si>
    <t xml:space="preserve">Construcción de 2 Bodegas </t>
  </si>
  <si>
    <t>IR-133-2014</t>
  </si>
  <si>
    <t>30 dias</t>
  </si>
  <si>
    <t>26-ZR-0678-2014</t>
  </si>
  <si>
    <t>4DZP17033544</t>
  </si>
  <si>
    <t xml:space="preserve">Construcción de 3 Bodegas </t>
  </si>
  <si>
    <t>26-ZR-0672-2014</t>
  </si>
  <si>
    <t>4DZP17033546</t>
  </si>
  <si>
    <t>Construcción de 1 Bodega</t>
  </si>
  <si>
    <t>San Agustín Amatlipac</t>
  </si>
  <si>
    <t>27-ZR-0674-2014</t>
  </si>
  <si>
    <t>4DZP17033376</t>
  </si>
  <si>
    <r>
      <t xml:space="preserve">Construcción de 1 Bodega </t>
    </r>
    <r>
      <rPr>
        <b/>
        <sz val="6"/>
        <rFont val="Arial"/>
        <family val="2"/>
      </rPr>
      <t>Reintegro de saldo por $110.27 DGOP/1523/2015</t>
    </r>
  </si>
  <si>
    <t>Nepopualco</t>
  </si>
  <si>
    <t>27-ZR-0677-2014</t>
  </si>
  <si>
    <t>4DZP17033399</t>
  </si>
  <si>
    <t>Tepetlixpita</t>
  </si>
  <si>
    <t>27-ZR-0675-2014</t>
  </si>
  <si>
    <t>4DZP17033413</t>
  </si>
  <si>
    <t>Totolapan</t>
  </si>
  <si>
    <t>27-ZR-0676-2014</t>
  </si>
  <si>
    <t>4DZP17033431</t>
  </si>
  <si>
    <t>27-ZR-0691-2014</t>
  </si>
  <si>
    <t>4DZP17033535</t>
  </si>
  <si>
    <t>Ahuatlán</t>
  </si>
  <si>
    <t>16-ZR-0695-2014</t>
  </si>
  <si>
    <t>4DZP17033212</t>
  </si>
  <si>
    <r>
      <t xml:space="preserve">Construcción de 1 Bodega </t>
    </r>
    <r>
      <rPr>
        <b/>
        <sz val="6"/>
        <rFont val="Arial"/>
        <family val="2"/>
      </rPr>
      <t>Reintegro de saldo por $110.27 DGOP/1521/2015</t>
    </r>
  </si>
  <si>
    <t>Tlacuatzingo</t>
  </si>
  <si>
    <t>IR-131-2014</t>
  </si>
  <si>
    <t>16-ZR-0918-2014</t>
  </si>
  <si>
    <t>4DZP17033141</t>
  </si>
  <si>
    <t xml:space="preserve">Construcción de Bodegas de Aguacate  </t>
  </si>
  <si>
    <t>SH/2327-2/2014</t>
  </si>
  <si>
    <t>32-ZR-0684-2014</t>
  </si>
  <si>
    <t>4DZP17033229</t>
  </si>
  <si>
    <t>32.- Zacualpan</t>
  </si>
  <si>
    <t>Tlacotepec</t>
  </si>
  <si>
    <t>07-ZU-0916-2013</t>
  </si>
  <si>
    <t>Bacheo en Tramos Aislados en Diferentes Puntos de la Delegación Antonio Barona</t>
  </si>
  <si>
    <t>22.- Mantenimiento</t>
  </si>
  <si>
    <t>02.- Infraestructura Urbana</t>
  </si>
  <si>
    <t>SSP/0273-JM/2014</t>
  </si>
  <si>
    <t>2% indirectos</t>
  </si>
  <si>
    <t>28-ZR-0329-2014</t>
  </si>
  <si>
    <t>Construcción de 1 Aula Didáctica de 6.00 X 8.00 Metros en Estructura RC, para la  Primaria 17 de Abril de 1869, Las Palmas Xochitepec</t>
  </si>
  <si>
    <t>Las Palmas</t>
  </si>
  <si>
    <t>AD-142-2014</t>
  </si>
  <si>
    <t>SH-1833-2-2014</t>
  </si>
  <si>
    <t>01-ZR-0422-2014</t>
  </si>
  <si>
    <t>Construcción de Fosa Séptica, Pozo de Absorción Impermeabilización, Drenaje y Rejilla p/agua Pluvial, Piso de Loseta de cerámica, Rehabilitación Inst. Eléctrica para la Primaria Miguel Chotal y/o Juan Pina Aranda, Huajintlán Amacuzac</t>
  </si>
  <si>
    <t>Huajintlán</t>
  </si>
  <si>
    <t>AD-141-2014</t>
  </si>
  <si>
    <t>08-ZU-0639-2014</t>
  </si>
  <si>
    <t>Construcción de una Aula didáctica de 6.00 X 8.00 mts. En Estructura R.C, jardín de Niños Henry Wallon, Emiliano Zapata.</t>
  </si>
  <si>
    <t>ir-120-</t>
  </si>
  <si>
    <t>AD-138-2014</t>
  </si>
  <si>
    <t>18-ZU-0671-2014</t>
  </si>
  <si>
    <t>170181PD001</t>
  </si>
  <si>
    <r>
      <t xml:space="preserve">Plan Maestro del Polígono 17018101 del Municipio de Temixco </t>
    </r>
    <r>
      <rPr>
        <b/>
        <sz val="6"/>
        <rFont val="Arial"/>
        <family val="2"/>
      </rPr>
      <t>(Reintegro de Convenios por $954.03 DGOP/0679/2015 24/04/15) (se cancela economia con oficio DA/308/2015)</t>
    </r>
  </si>
  <si>
    <t>17.- Tramitar y Dar Seguimiento a los Proyectos Ejecutivos de Obras para su Autorización</t>
  </si>
  <si>
    <t>IR-120-2014</t>
  </si>
  <si>
    <t>SH/1829-2/2014
SH-1926-2-2015</t>
  </si>
  <si>
    <t>30/10/2014
23/09/2015</t>
  </si>
  <si>
    <t>13-ZR-0667-2014</t>
  </si>
  <si>
    <t>Construcción de Aula RC de 6.00 X 8.00 mts. Más obra Exterior para Jardín de Niños Décima Musa</t>
  </si>
  <si>
    <t>Tetelilla</t>
  </si>
  <si>
    <t>AD-137-2014</t>
  </si>
  <si>
    <t>SH/1833-2/2014</t>
  </si>
  <si>
    <t>25-ZR-0636-2014</t>
  </si>
  <si>
    <r>
      <t xml:space="preserve">Rehabilitación de Sanitarios, Reparación de Fisuras en Muros para la Esc. Prim. Vicente Guerrero, Tlaquiltenango </t>
    </r>
    <r>
      <rPr>
        <b/>
        <sz val="6"/>
        <rFont val="Arial"/>
        <family val="2"/>
      </rPr>
      <t>Cancelación de Saldos por $9,436.20 SSIO/DA/397/2015</t>
    </r>
  </si>
  <si>
    <t xml:space="preserve">3 de mayo </t>
  </si>
  <si>
    <t>AD-168-2014</t>
  </si>
  <si>
    <t>SH/1833-2/2014
SH-2063-2-2015</t>
  </si>
  <si>
    <t>30/10/2014
14/10/2015</t>
  </si>
  <si>
    <t>29-ZR-0557-2014</t>
  </si>
  <si>
    <t>Construcción de Techumbre en la Unidad Deportiva Cocoyoc en Yautepec</t>
  </si>
  <si>
    <t>Cocoyoc</t>
  </si>
  <si>
    <t>AD-145-2014</t>
  </si>
  <si>
    <t>SH-1858-2-2014</t>
  </si>
  <si>
    <t>31-ZR-0625-2014</t>
  </si>
  <si>
    <t>Reparación de fisuras en losas y muros de concreto de acuerdo al ditamen del INEIEM, Impermeabilización de losas (1,375.00 m2) Para Esc. Prim. Mariano Escobedo, Zacatepec</t>
  </si>
  <si>
    <t>Plan de Ayala</t>
  </si>
  <si>
    <t>AD-140-2014</t>
  </si>
  <si>
    <t>07-ZU-0942-2013</t>
  </si>
  <si>
    <r>
      <t xml:space="preserve">Rehabilitación de Baños y Pintura en Esc. Primaria Prof. Estanislao Rojas Zuñiga, Cuernavaca </t>
    </r>
    <r>
      <rPr>
        <b/>
        <sz val="6"/>
        <rFont val="Arial"/>
        <family val="2"/>
      </rPr>
      <t>(Oficio de Cancelación SH/0799-2015 de fecha 27 de Abril del 2015 por $3,268.17) Cancelación de Saldos por $0.01 SSIO/DA/473/2015</t>
    </r>
  </si>
  <si>
    <t>cancelación</t>
  </si>
  <si>
    <t>San Miguel Acapantzingo</t>
  </si>
  <si>
    <t>AD-143-2014</t>
  </si>
  <si>
    <t>SH/1832-2/2014</t>
  </si>
  <si>
    <t>04-ZU-0640-2014</t>
  </si>
  <si>
    <t>Construcción de Aula Didáctica e 6.00X8.00 mts. En Estructura R-C Para Jardín de Niños Octavio Paz, Ayala</t>
  </si>
  <si>
    <t>Las Arboledas</t>
  </si>
  <si>
    <t>AD-144-2014</t>
  </si>
  <si>
    <t>55 DIAS</t>
  </si>
  <si>
    <t>24.- Tlaltizapán de Zapata</t>
  </si>
  <si>
    <t>1% indirectos</t>
  </si>
  <si>
    <t>07-ZU-0751-2014</t>
  </si>
  <si>
    <t>Rehabilitación de Espacios Educativos en Cuernavaca, Morelos. "Rehabilitación en la Primaria Rafael Ramírez, Col. Las Aguilas, Cuernavaca"</t>
  </si>
  <si>
    <t>INTERACCIONES 
300144134</t>
  </si>
  <si>
    <t>CONVENIOS FEDERALES 57.- PROGRAMA DE DESARROLLO REGIONAL CUERNAVACA 2014</t>
  </si>
  <si>
    <t>Las Aguilas</t>
  </si>
  <si>
    <t>IR-147-2014</t>
  </si>
  <si>
    <t>SH/1972-2/2014</t>
  </si>
  <si>
    <t>07-ZU-0750-2014</t>
  </si>
  <si>
    <t>Rehabilitación de Espacios Educativos en Cuernavaca, Morelos. "Rehabilitación de Baños existentes en la Primaria Miguel Hidalgo y Costilla, Col. Carolina, Cuernavaca"</t>
  </si>
  <si>
    <t>SH/1884-2/2014</t>
  </si>
  <si>
    <t>07-ZU-0743-2014</t>
  </si>
  <si>
    <t>Rehabilitación de Espacios Educativos en Cuernavaca, Morelos "Dirección, Barda Perimetral, Rehabilitación de Baños y Juegos Infantiles en el Jardín de Niños Selma Lagerloff, Col. Antonio Barona, Cuernavaca.</t>
  </si>
  <si>
    <t>Antonio Barona Centro</t>
  </si>
  <si>
    <t>25 dias</t>
  </si>
  <si>
    <t>99-ZU-0753-2014</t>
  </si>
  <si>
    <t>Construcción de Plantas de Valorización de Residuos Sólidos Urbanos y de Manejo Especial (PVR)</t>
  </si>
  <si>
    <t>INTERACCIONES
300136166</t>
  </si>
  <si>
    <t>CONVENIOS FEDERALES 77.- RESIDUOS 2014</t>
  </si>
  <si>
    <t>S5.- Protección y Preservación Ecológica</t>
  </si>
  <si>
    <t>AD-198-2014</t>
  </si>
  <si>
    <t>SH/1882-2/2014</t>
  </si>
  <si>
    <t>360 Días</t>
  </si>
  <si>
    <t>07-ZU-0711-2014</t>
  </si>
  <si>
    <r>
      <t xml:space="preserve">Ampliación Eléctrica en Cuernavaca, Morelos, Ampliación de Red Eléctrica en Calle Las Rosas, Texcaltepec, Cuernavaca </t>
    </r>
    <r>
      <rPr>
        <b/>
        <sz val="6"/>
        <rFont val="Arial"/>
        <family val="2"/>
      </rPr>
      <t>Reintegro por $3,260.38 a la TESOFE</t>
    </r>
  </si>
  <si>
    <t>Reintegro</t>
  </si>
  <si>
    <t>Texcaltepec</t>
  </si>
  <si>
    <t>AD-227-2014</t>
  </si>
  <si>
    <t>SH/1841-2/2014</t>
  </si>
  <si>
    <t>10 dias</t>
  </si>
  <si>
    <t>8.- Emiliano Zapata</t>
  </si>
  <si>
    <t>07-ZU-0710-2014</t>
  </si>
  <si>
    <t>Ampliación Eléctrica en Cuernavaca, Morelos  Ampliación de Red Eléctrica Calle Bugambilias, Cuernavaca, Morelos</t>
  </si>
  <si>
    <t>Milpillas</t>
  </si>
  <si>
    <t>IR-146-2014</t>
  </si>
  <si>
    <t>falta que presenten la estimación 1 completa</t>
  </si>
  <si>
    <t>07-ZU-0709-2014</t>
  </si>
  <si>
    <t xml:space="preserve">Ampliación Eléctrica en Cuernavaca, Morelos, Ampliación de Red Eléctrica en Privada  Lomas de Ahuatlan, Cuernavaca </t>
  </si>
  <si>
    <t>Lomas de Ahuatlán</t>
  </si>
  <si>
    <t>07-ZU-0708-2014</t>
  </si>
  <si>
    <t xml:space="preserve">Ampliación Eléctrica en Cuernavaca, Morelos.  Ampliación de Red Eléctrica en Calle Tulipanes, Jardines del Edén, Cuernavaca. </t>
  </si>
  <si>
    <t>Jardines del Edén</t>
  </si>
  <si>
    <t>07-ZU-0705-2014</t>
  </si>
  <si>
    <t>Rehabilitación  del Antigüo Acceso al Centro Histórico de Cuernavaca 1ra. Etapa</t>
  </si>
  <si>
    <t>TU.- Turismo</t>
  </si>
  <si>
    <t>AD-156-2014</t>
  </si>
  <si>
    <t>SH/1885-2/2014</t>
  </si>
  <si>
    <t>100 dias</t>
  </si>
  <si>
    <t>07-ZR-0742-2014</t>
  </si>
  <si>
    <t>Rehabilitación de Espacios Educativos en Cuernavaca, Morelos "Rehabilitación General de Jardín de Niños el Edén, Col. La Unión, Cuernavaca"</t>
  </si>
  <si>
    <t xml:space="preserve">La Unión </t>
  </si>
  <si>
    <t>11-ZU-0707-2014</t>
  </si>
  <si>
    <t>Construcción de firme para las Canchas de Basquetbol en la Unidad Deportiva de Tejalpa</t>
  </si>
  <si>
    <t>Tejalpa</t>
  </si>
  <si>
    <t>AD-176-2014</t>
  </si>
  <si>
    <t>SH-1886-2-2014</t>
  </si>
  <si>
    <t>3% indirectos</t>
  </si>
  <si>
    <t>11-ZU-0764-2014</t>
  </si>
  <si>
    <t>Construcción de Módulo de Seguridad en Jiutepec Jiutepec</t>
  </si>
  <si>
    <t>24.- Infraestructura Seguridad Pública</t>
  </si>
  <si>
    <t>San Lucas</t>
  </si>
  <si>
    <t>AD-147-2014</t>
  </si>
  <si>
    <t>SH/1883-2/2014</t>
  </si>
  <si>
    <t xml:space="preserve">Centro Comercial Antonio Rivapalacio López, Benito Juárez y Mercado Margarita Maza de Juárez </t>
  </si>
  <si>
    <t>jojutla</t>
  </si>
  <si>
    <t>LPF-012-2014</t>
  </si>
  <si>
    <t>CONVENIO CON SEDECO</t>
  </si>
  <si>
    <t xml:space="preserve">1.5% Indirectos </t>
  </si>
  <si>
    <t>210 DIAS</t>
  </si>
  <si>
    <t>Remodelación del Mercado de Cuautla</t>
  </si>
  <si>
    <t>RECURSOS PROPIOS DEL INADEM Y FIFODEPI</t>
  </si>
  <si>
    <t>Cuautla</t>
  </si>
  <si>
    <t>LPF-013-2014</t>
  </si>
  <si>
    <t>existe convenio de terminación anticipada</t>
  </si>
  <si>
    <t>AD-041-2015</t>
  </si>
  <si>
    <t>11-ZU-0645-2014</t>
  </si>
  <si>
    <r>
      <t xml:space="preserve">Centro Comunitario de las Juventudes de Jiutepec  (CCJJ) </t>
    </r>
    <r>
      <rPr>
        <b/>
        <sz val="6"/>
        <rFont val="Arial"/>
        <family val="2"/>
      </rPr>
      <t>Reintegro por $14,744.73 DGOP/1432/2015</t>
    </r>
  </si>
  <si>
    <t>29.- Infraestructura de Seguridad Ciudadana</t>
  </si>
  <si>
    <t>Ampliación Tejalpa</t>
  </si>
  <si>
    <t>IR-105-2014</t>
  </si>
  <si>
    <t>SH/1935-2/2014</t>
  </si>
  <si>
    <t>18-ZU-0627-2014</t>
  </si>
  <si>
    <t>4DZP17013925</t>
  </si>
  <si>
    <r>
      <t xml:space="preserve">Construcción de  100 techos firmes </t>
    </r>
    <r>
      <rPr>
        <b/>
        <sz val="6"/>
        <rFont val="Arial"/>
        <family val="2"/>
      </rPr>
      <t>Reintegro de saldo por $534.80 DGOP/1524/2015</t>
    </r>
  </si>
  <si>
    <t>018.- Temixco</t>
  </si>
  <si>
    <t xml:space="preserve">Temixco centro </t>
  </si>
  <si>
    <t>IR-088-2014</t>
  </si>
  <si>
    <t>SCOTIABANK INVERLAT
03902353326</t>
  </si>
  <si>
    <t>11-ZU-0619-2014</t>
  </si>
  <si>
    <t>4DZP17013809</t>
  </si>
  <si>
    <r>
      <t xml:space="preserve">Construcción de 150 techos firmes </t>
    </r>
    <r>
      <rPr>
        <b/>
        <sz val="6"/>
        <rFont val="Arial"/>
        <family val="2"/>
      </rPr>
      <t>Reintegro de saldo por $802.2 DGOP/1524/2015</t>
    </r>
  </si>
  <si>
    <t>Centro Jiutepec</t>
  </si>
  <si>
    <t>17-ZR-0621-2014</t>
  </si>
  <si>
    <t>4DZP17013821</t>
  </si>
  <si>
    <r>
      <t xml:space="preserve">Construcción de 75 techos firmes </t>
    </r>
    <r>
      <rPr>
        <b/>
        <sz val="6"/>
        <rFont val="Arial"/>
        <family val="2"/>
      </rPr>
      <t>Reintegro de saldo por $401.1 DGOP/1524/2015</t>
    </r>
  </si>
  <si>
    <t>11-ZU-0946-2013</t>
  </si>
  <si>
    <t>Techumbre en Plaza Cívica del Kinder Margarita Maza de Juárez, Col. Centro, Jiutepec</t>
  </si>
  <si>
    <t>RAMO 33 FONDO 15 (FAM BASICO  2013)</t>
  </si>
  <si>
    <t>AD-150-2014</t>
  </si>
  <si>
    <t>SH/1921-2/2014</t>
  </si>
  <si>
    <t>22-ZR-0665-2014</t>
  </si>
  <si>
    <t>4DZP17033593</t>
  </si>
  <si>
    <t>El Capulín</t>
  </si>
  <si>
    <t>IR-132-2014</t>
  </si>
  <si>
    <t>22-ZR-0689-2014</t>
  </si>
  <si>
    <t>4DZP17033599</t>
  </si>
  <si>
    <t>Cuitlamila</t>
  </si>
  <si>
    <t>22-ZR-0690-2014</t>
  </si>
  <si>
    <t>4DZP17033601</t>
  </si>
  <si>
    <t>El Encinal</t>
  </si>
  <si>
    <t>22-ZR-0692-2014</t>
  </si>
  <si>
    <t>4DZP17033603</t>
  </si>
  <si>
    <t xml:space="preserve">Construcción de 1 Bodega </t>
  </si>
  <si>
    <t>Potrero de León</t>
  </si>
  <si>
    <t>22-ZR-0682-2014</t>
  </si>
  <si>
    <t>4DZP17033969</t>
  </si>
  <si>
    <t>Tlalcomulco</t>
  </si>
  <si>
    <t>22-ZR-0685-2014</t>
  </si>
  <si>
    <t>4DZP17033983</t>
  </si>
  <si>
    <t>22-ZR-0680-2014</t>
  </si>
  <si>
    <t>4DZP17033587</t>
  </si>
  <si>
    <t xml:space="preserve">Construcción de 15 Bodegas </t>
  </si>
  <si>
    <t>22-ZR-0673-2014</t>
  </si>
  <si>
    <t>4DZP17033597</t>
  </si>
  <si>
    <t xml:space="preserve">San Miguel </t>
  </si>
  <si>
    <t>23-ZR-0683-2014</t>
  </si>
  <si>
    <t>4DZP17033221</t>
  </si>
  <si>
    <r>
      <t xml:space="preserve">Construcción de 1 Bodega (Cancelación de Centavos según Oficio DA/159/2015) Reintegro de saldo por $715.62 DGOP/1521/2015 </t>
    </r>
    <r>
      <rPr>
        <b/>
        <sz val="6"/>
        <rFont val="Arial"/>
        <family val="2"/>
      </rPr>
      <t>Reintegro de saldo por $0.96 DGOP/1521/2015</t>
    </r>
  </si>
  <si>
    <t>Felipe Neri</t>
  </si>
  <si>
    <t>AD-158-2014</t>
  </si>
  <si>
    <t>18-ZU-0635-2014</t>
  </si>
  <si>
    <t>170181ME019</t>
  </si>
  <si>
    <r>
      <t>Alumbrado Público en la Calle Moctezuma Cuauhtemoc y Francisco Villa</t>
    </r>
    <r>
      <rPr>
        <b/>
        <sz val="6"/>
        <rFont val="Arial"/>
        <family val="2"/>
      </rPr>
      <t xml:space="preserve"> (Reintegro de Convenios por $1,745.64 DGOP/0679/2015 24/04/15) Cancelación de saldos por $1,163.42 SSIO/DA/459/2015 FAFEF</t>
    </r>
  </si>
  <si>
    <t>IR-127-2014</t>
  </si>
  <si>
    <t>07-ZU-0959-2013</t>
  </si>
  <si>
    <t>Mantenimiento y Reparaciones en el Centro Cultural "La Tallera"  (2da. Etapa)</t>
  </si>
  <si>
    <t>21.- Infraestructura de  Cultura</t>
  </si>
  <si>
    <t>Jardines de Cuernavaca</t>
  </si>
  <si>
    <t>AD-148-2014</t>
  </si>
  <si>
    <t>SH/1920-2-2014</t>
  </si>
  <si>
    <t>05-ZR-0769-2014</t>
  </si>
  <si>
    <r>
      <t xml:space="preserve">Construcción de Arcotecho de 15.80 X 30.00 mts. Para Cancha de Usos Múltiples en el Municipio de Coatlán del Rio </t>
    </r>
    <r>
      <rPr>
        <b/>
        <sz val="6"/>
        <rFont val="Arial"/>
        <family val="2"/>
      </rPr>
      <t>(Obra Cancelada con Oficio SH-840-2-2015)</t>
    </r>
  </si>
  <si>
    <t>Cuernavaquita</t>
  </si>
  <si>
    <t>11-ZR-0945-2013</t>
  </si>
  <si>
    <r>
      <t xml:space="preserve">Techumbre en Plaza Cívica de la Primaria Matutina González Bocanegra, en la Unidad Habitacional el Paraje Municipio de Jiutepec </t>
    </r>
    <r>
      <rPr>
        <b/>
        <sz val="6"/>
        <rFont val="Arial"/>
        <family val="2"/>
      </rPr>
      <t>Cancelación de Saldos por $2,225.10 SSIO/DA/376/2015</t>
    </r>
  </si>
  <si>
    <t>El Paraje Texcal</t>
  </si>
  <si>
    <t>AD-178-2014</t>
  </si>
  <si>
    <t>SH/1921-2/2014
SH-1978-2-2015</t>
  </si>
  <si>
    <t>10/11/2014
02/10/2015</t>
  </si>
  <si>
    <t>11-ZU-0706-2014</t>
  </si>
  <si>
    <t>Gimnasio al Aire Libre en Unidad Deportiva Tejalpa, Jiutepec</t>
  </si>
  <si>
    <t>26.- Infraestructuctura deportiva</t>
  </si>
  <si>
    <t>AD-173-2014</t>
  </si>
  <si>
    <t>24-ZR-0428-2014</t>
  </si>
  <si>
    <r>
      <t xml:space="preserve">Reparación de Fisuras en Muros y Costrucción de Barda Perimetral de Muro Mixto y Muro Ciego, Jardín de Niños "Flor de Liz", en el Municipio de Tlaltizapán  </t>
    </r>
    <r>
      <rPr>
        <b/>
        <sz val="6"/>
        <rFont val="Arial"/>
        <family val="2"/>
      </rPr>
      <t xml:space="preserve">Cancelación de Saldos por $3,238.43 SSIO/DA/346/2015 </t>
    </r>
  </si>
  <si>
    <t>BANORTE 0207068380</t>
  </si>
  <si>
    <t>Temilpa Nuevo</t>
  </si>
  <si>
    <t>AD-095-2014</t>
  </si>
  <si>
    <t>SH/1262-2/2014
SH-1926-2-2015</t>
  </si>
  <si>
    <t>19/08/2014
23/09/2015</t>
  </si>
  <si>
    <t>18-ZU-0734-2014</t>
  </si>
  <si>
    <t>170181ME021</t>
  </si>
  <si>
    <r>
      <t xml:space="preserve">Construcción de Calle Emiliano Zapata </t>
    </r>
    <r>
      <rPr>
        <b/>
        <sz val="6"/>
        <rFont val="Arial"/>
        <family val="2"/>
      </rPr>
      <t>(Reintegro de Convenios por $1,107.48 DGOP/0679/2015 24/04/15)</t>
    </r>
  </si>
  <si>
    <t>IR-124-2014</t>
  </si>
  <si>
    <t>18-ZU-0794-2014</t>
  </si>
  <si>
    <t>170181ME024</t>
  </si>
  <si>
    <r>
      <t xml:space="preserve">Alumbrado en Calle Emiliano Zapata </t>
    </r>
    <r>
      <rPr>
        <b/>
        <sz val="6"/>
        <rFont val="Arial"/>
        <family val="2"/>
      </rPr>
      <t>(Reintegro de Convenios por $1,187.39 DGOP/0679/2015 24/04/15)</t>
    </r>
  </si>
  <si>
    <t>SH-2342-2-2014</t>
  </si>
  <si>
    <t>31-ZR-0780-2014</t>
  </si>
  <si>
    <t xml:space="preserve">Rehabilitación General Eléctrica para la Escuela Secundaria Técnica No. 27. Zacatepec. </t>
  </si>
  <si>
    <t xml:space="preserve">SJ.- Infraestructura Educativa </t>
  </si>
  <si>
    <t>Galeana, Centro</t>
  </si>
  <si>
    <t>AD-216-2014</t>
  </si>
  <si>
    <t>SH-2046-2-2014</t>
  </si>
  <si>
    <t>31-ZU-0781-2014</t>
  </si>
  <si>
    <r>
      <t xml:space="preserve">Construcción de un Aula de Medios para la Secundaria Enrique González Aparicio, Zacatepec. </t>
    </r>
    <r>
      <rPr>
        <b/>
        <sz val="6"/>
        <rFont val="Arial"/>
        <family val="2"/>
      </rPr>
      <t>Cancelación de Saldos por $26,677.61 SSIO/DA/397/2015</t>
    </r>
  </si>
  <si>
    <t>IR-158-2014</t>
  </si>
  <si>
    <t>SH-2046-2-2014
SH-2063-2-2015</t>
  </si>
  <si>
    <t>25/11/2014
14/10/2015</t>
  </si>
  <si>
    <t>17-ZU-0778-2014</t>
  </si>
  <si>
    <t xml:space="preserve">Reparación de Grietas Producidas por el Sismo (De acuerdo al dictamen técnico del INEIEM) Demolición y Construcción de Losa en Edificio Estructura A-70 Rehabilitación General de la Red Eléctrica Interior y Exterior Rehabilitción de Techumbre y Equipamiento del Taller de Herramientas para la Secundaria General Guadalupe Victoria </t>
  </si>
  <si>
    <t xml:space="preserve">17.- Puente de Ixtla </t>
  </si>
  <si>
    <t xml:space="preserve">Guadalupe Victoria </t>
  </si>
  <si>
    <t>IR-136-2014</t>
  </si>
  <si>
    <t>07-ZU-0767-2014</t>
  </si>
  <si>
    <t xml:space="preserve">Impermeabilización de 5 Edificios incluyendo Retiro de Impermeabilización existente, Limpieza de Superficie, Entortado sobre Losa de Concreto y Demolición de Barda Existente y Construcción de Muro de Contención Perimetral (Lado Norte y Este) A Base de Piedra para la Sec. Francisco Zarco </t>
  </si>
  <si>
    <t xml:space="preserve">7.- Cuernavaca </t>
  </si>
  <si>
    <t xml:space="preserve">Tetela del Monte </t>
  </si>
  <si>
    <t>IR-151-2014</t>
  </si>
  <si>
    <t>07-ZU-0768-2014</t>
  </si>
  <si>
    <t>Demolición y Reconstrucción de 150 ml de Barda Perimetral para la Secundaria Técnica No. 18</t>
  </si>
  <si>
    <t>Col. Revolución</t>
  </si>
  <si>
    <t>AD-228-2014</t>
  </si>
  <si>
    <t>18-ZU-0779-2014</t>
  </si>
  <si>
    <t xml:space="preserve">Construcción de un aula didáctica de 6X8 mts. En estructura RC para la telesecundaria Emiliano Zapata 2002, Temixco. </t>
  </si>
  <si>
    <t>Eterna Primavera</t>
  </si>
  <si>
    <t>AD-184-2014</t>
  </si>
  <si>
    <t>31-ZU-0800-2014</t>
  </si>
  <si>
    <t>Demolición de Cancha Morelos para el acceso a Explanada del Estadio de Futbol Agustín Coruco Díaz, Zacatepec.</t>
  </si>
  <si>
    <t>AD-182-2014</t>
  </si>
  <si>
    <t>SH-1245-2-2014</t>
  </si>
  <si>
    <t>11-ZU-0741-2014</t>
  </si>
  <si>
    <t>Techumbre de Cancha de Usos Múltiples en Plaza Cívica, Los Robles Civac, Jiutepec</t>
  </si>
  <si>
    <t>Civac</t>
  </si>
  <si>
    <t>IR-157-2014</t>
  </si>
  <si>
    <t>SH/1997-2/2014</t>
  </si>
  <si>
    <t>06-ZU-0963-2013</t>
  </si>
  <si>
    <t xml:space="preserve">Trabajos Complementarios para el elevador del Balneario Agua Hedionda </t>
  </si>
  <si>
    <t>Otilio Montaño</t>
  </si>
  <si>
    <t>AD-180-2014</t>
  </si>
  <si>
    <t>SH/1996-2/2014</t>
  </si>
  <si>
    <t>18-ZU-0786-2014</t>
  </si>
  <si>
    <t xml:space="preserve">Rehabilitación Cancha Geranios </t>
  </si>
  <si>
    <t>IR-142-2014</t>
  </si>
  <si>
    <t>SH/2005-2/2014</t>
  </si>
  <si>
    <t>solo se presenta factura en anticipo y estimación</t>
  </si>
  <si>
    <t>30-ZR-0655-2014</t>
  </si>
  <si>
    <t>4DZP17033127</t>
  </si>
  <si>
    <t>Construcción de 50 Cisternas Domiciliarias en Mixtlalcingo, Yecapixtla</t>
  </si>
  <si>
    <t>Mixtlalcingo</t>
  </si>
  <si>
    <t>IR-098-2014</t>
  </si>
  <si>
    <t>SH/2148-2/2014</t>
  </si>
  <si>
    <t>32-ZR-0656-2014</t>
  </si>
  <si>
    <t>4DZP17033128</t>
  </si>
  <si>
    <t xml:space="preserve">Construcción de 50 Cisternas Domiciliarias en Zacualpan de Amilpas, Zacualpan. </t>
  </si>
  <si>
    <t>17-ZU-0657-2014</t>
  </si>
  <si>
    <t>4DZP17033129</t>
  </si>
  <si>
    <t>Construcción de 65 Cisternas Domiciliarias en Xoxocotla, Puente de Ixtla</t>
  </si>
  <si>
    <t>Xoxocotla</t>
  </si>
  <si>
    <t>IR-099-2014</t>
  </si>
  <si>
    <t>15-ZR-0654-2014</t>
  </si>
  <si>
    <t>4DZP17033130</t>
  </si>
  <si>
    <t xml:space="preserve">Construcción de 10 Cisternas Domiciliarias en Xochicalco, Miacatlán. </t>
  </si>
  <si>
    <t>Xochicalco</t>
  </si>
  <si>
    <t>33-ZR-0653-2014</t>
  </si>
  <si>
    <t>4DZP17033137</t>
  </si>
  <si>
    <t>Construcción de 5 Cisternas Domiciliarias en Temoac, Temoac.</t>
  </si>
  <si>
    <t>16-ZR-0783-2014</t>
  </si>
  <si>
    <t>4DZP17033133</t>
  </si>
  <si>
    <t>Construcción de 4 Cisternas Domiciliarias en Col. Jumiltepec Ocuituco</t>
  </si>
  <si>
    <t>11-ZU-0782-2014</t>
  </si>
  <si>
    <t>4DZP17033131</t>
  </si>
  <si>
    <t xml:space="preserve">Construcción de 9 Cisternas Domiciliarias en Col. Independencia, Jiutepec </t>
  </si>
  <si>
    <t>Independencia</t>
  </si>
  <si>
    <t>23-ZR-0658-2014</t>
  </si>
  <si>
    <t>4DZP17033126</t>
  </si>
  <si>
    <t>Construcción de 77 Cisternas Domiciliarias en Tlalnepantla, Tlalnepantla</t>
  </si>
  <si>
    <t>IR-097-2014</t>
  </si>
  <si>
    <t>18-ZU-0799-2014</t>
  </si>
  <si>
    <t>170181ME013</t>
  </si>
  <si>
    <r>
      <t xml:space="preserve">Habilitación del Centro de Desarrollo Comunitario en la Col. Nopalera </t>
    </r>
    <r>
      <rPr>
        <b/>
        <sz val="6"/>
        <rFont val="Arial"/>
        <family val="2"/>
      </rPr>
      <t>(Reintegro de Convenios por $744.69 DGOP/0679/2015 24/04/15)</t>
    </r>
  </si>
  <si>
    <t>La Nopalera</t>
  </si>
  <si>
    <t>AD-146-2014</t>
  </si>
  <si>
    <t>SH/2151-2/2014</t>
  </si>
  <si>
    <t>18-ZU-0791-2014</t>
  </si>
  <si>
    <t>170181ME022</t>
  </si>
  <si>
    <r>
      <t xml:space="preserve">Adecuación de Imagen Institucional del Centro de Desarrollo Comunitario en la Col. Nopalera </t>
    </r>
    <r>
      <rPr>
        <b/>
        <sz val="6"/>
        <rFont val="Arial"/>
        <family val="2"/>
      </rPr>
      <t>(Reintegro de Convenios por $727.76 DGOP/0679/2015 24/04/15)</t>
    </r>
  </si>
  <si>
    <t>18-ZU-0773-2014</t>
  </si>
  <si>
    <t>170181ME009</t>
  </si>
  <si>
    <r>
      <t>Habilitación del Centro de Desarrollo Comunitario Col. El Estribo</t>
    </r>
    <r>
      <rPr>
        <b/>
        <sz val="6"/>
        <rFont val="Arial"/>
        <family val="2"/>
      </rPr>
      <t xml:space="preserve"> (Reintegro de Convenios por $1,771.39 DGOP/0679/2015 24/04/15)</t>
    </r>
  </si>
  <si>
    <t>El Estribo</t>
  </si>
  <si>
    <t>AD-162-2014</t>
  </si>
  <si>
    <t>18-ZU-0790-2014</t>
  </si>
  <si>
    <t>170181ME006</t>
  </si>
  <si>
    <r>
      <t xml:space="preserve">Adecuación de Imagen Institucional del Centro de Desarrollo Comunitario El Estribo </t>
    </r>
    <r>
      <rPr>
        <b/>
        <sz val="6"/>
        <rFont val="Arial"/>
        <family val="2"/>
      </rPr>
      <t>(Reintegro de Convenios por $1,482.87 DGOP/0679/2015 24/04/15)</t>
    </r>
  </si>
  <si>
    <t>SH-2151-2-2014</t>
  </si>
  <si>
    <t>07-ZU-0788-2014</t>
  </si>
  <si>
    <t>170073ME001</t>
  </si>
  <si>
    <r>
      <t xml:space="preserve">Alumbrado Sendero Peatonal en Calle Amado Nervo Luis G. Urbina y Nicolás Bravo </t>
    </r>
    <r>
      <rPr>
        <b/>
        <sz val="6"/>
        <rFont val="Arial"/>
        <family val="2"/>
      </rPr>
      <t>(Reintegro de Convenios por $1,314.30 DGOP/0679/2015 24/04/15)</t>
    </r>
  </si>
  <si>
    <t xml:space="preserve">Carolina </t>
  </si>
  <si>
    <t>IR-129-2014</t>
  </si>
  <si>
    <t>07-ZU-0787-2014</t>
  </si>
  <si>
    <t>170073ME009</t>
  </si>
  <si>
    <r>
      <t>Alumbrado del Sendero Peatonal en Calle Rubén Darío</t>
    </r>
    <r>
      <rPr>
        <b/>
        <sz val="6"/>
        <rFont val="Arial"/>
        <family val="2"/>
      </rPr>
      <t xml:space="preserve"> (Reintegro de Convenios por $2,963.74 DGOP/0679/2015 24/04/15)</t>
    </r>
  </si>
  <si>
    <t>18-ZU-0771-2014</t>
  </si>
  <si>
    <t>170181ME015</t>
  </si>
  <si>
    <r>
      <t>Equipamiento de Area en el Centro de Desarrollo Comunitario Rio Escondido</t>
    </r>
    <r>
      <rPr>
        <b/>
        <sz val="6"/>
        <rFont val="Arial"/>
        <family val="2"/>
      </rPr>
      <t xml:space="preserve"> (Reintegro de Convenios por $962.75DGOP/0679/2015 24/04/15)</t>
    </r>
  </si>
  <si>
    <t>AD-164-2014</t>
  </si>
  <si>
    <t>SH/2242-2/2014</t>
  </si>
  <si>
    <t>18-ZU-0774-2014</t>
  </si>
  <si>
    <t>170181ME007</t>
  </si>
  <si>
    <r>
      <t xml:space="preserve">Habilitación del Centro de Desarrollo Comunitario Rio Escondido </t>
    </r>
    <r>
      <rPr>
        <b/>
        <sz val="6"/>
        <rFont val="Arial"/>
        <family val="2"/>
      </rPr>
      <t xml:space="preserve">(Reintegro de Convenios por $1,861.63 DGOP/0679/2015 24/04/15)  </t>
    </r>
  </si>
  <si>
    <t xml:space="preserve">Temixco </t>
  </si>
  <si>
    <t>18-ZU-0789-2014</t>
  </si>
  <si>
    <t>170181ME010</t>
  </si>
  <si>
    <r>
      <t xml:space="preserve">Adecuación a la Imagen Institucional del Centro de Desarrollo Comunitario Col. Rio Escondido </t>
    </r>
    <r>
      <rPr>
        <b/>
        <sz val="6"/>
        <rFont val="Arial"/>
        <family val="2"/>
      </rPr>
      <t>(Reintegro de Convenios por $1,080.94 DGOP/0679/2015 24/04/15)</t>
    </r>
  </si>
  <si>
    <t>Juan Morales</t>
  </si>
  <si>
    <t>SH-2266-2-2014</t>
  </si>
  <si>
    <t>30-ZU-0784-2014</t>
  </si>
  <si>
    <t>170303ME012</t>
  </si>
  <si>
    <r>
      <t xml:space="preserve">Alumbrado Público en Av. Benito Juárez Tramo 1 </t>
    </r>
    <r>
      <rPr>
        <b/>
        <sz val="6"/>
        <rFont val="Arial"/>
        <family val="2"/>
      </rPr>
      <t>(Reintegro de Convenios por $1,336.70 DGOP/0679/2015 24/04/15)</t>
    </r>
  </si>
  <si>
    <t>30-ZU-0795-2014</t>
  </si>
  <si>
    <t>170303ME006</t>
  </si>
  <si>
    <r>
      <t xml:space="preserve">Alumbrado Público en Av. Benito Juárez Tramo 2 </t>
    </r>
    <r>
      <rPr>
        <b/>
        <sz val="6"/>
        <rFont val="Arial"/>
        <family val="2"/>
      </rPr>
      <t>(Reintegro de Convenios por $1,418.40 DGOP/0679/2015 24/04/15)</t>
    </r>
  </si>
  <si>
    <t>15-ZR-0966-2014</t>
  </si>
  <si>
    <t xml:space="preserve">Ampliación de Red Eléctrica en Callejón del Dique, La Toma Miacatlán </t>
  </si>
  <si>
    <t>RAMO 33  37.- (FISE BANOBRAS 2013)</t>
  </si>
  <si>
    <t>04.- Ampliación</t>
  </si>
  <si>
    <t xml:space="preserve">La Toma </t>
  </si>
  <si>
    <t>AD-262-2014</t>
  </si>
  <si>
    <t>SH/2094-2/2014</t>
  </si>
  <si>
    <t>15-ZR-0979-2013</t>
  </si>
  <si>
    <r>
      <t xml:space="preserve">Ampliación de Red Eléctrica en Calle Puente Colorado, El Rodeo, Miacatlán </t>
    </r>
    <r>
      <rPr>
        <b/>
        <sz val="6"/>
        <rFont val="Arial"/>
        <family val="2"/>
      </rPr>
      <t>Cancelación de saldos por $2,033.68 SH/2382-2/2015</t>
    </r>
  </si>
  <si>
    <t>cancelación
da/470</t>
  </si>
  <si>
    <t>SH/2211-2/2014
SH/2382-2/2015</t>
  </si>
  <si>
    <t>11/12/2014
25/11/2015</t>
  </si>
  <si>
    <t xml:space="preserve">3% INDIRECTOS </t>
  </si>
  <si>
    <t>15-ZU-0981-2013</t>
  </si>
  <si>
    <r>
      <t xml:space="preserve">Ampliación de Red Eléctrica en Calle Insurgentes, Miacatlán </t>
    </r>
    <r>
      <rPr>
        <b/>
        <sz val="6"/>
        <rFont val="Arial"/>
        <family val="2"/>
      </rPr>
      <t>Cancelación de saldos por $2,943.25 SH/2382-2/2015</t>
    </r>
  </si>
  <si>
    <t xml:space="preserve">Miacatlán </t>
  </si>
  <si>
    <t>15-ZR-0982-2013</t>
  </si>
  <si>
    <r>
      <t>Ampliación de Red Eléctrica en Calle Privada Guanabanos, Los Tulipanes, Miacatlán</t>
    </r>
    <r>
      <rPr>
        <b/>
        <sz val="6"/>
        <rFont val="Arial"/>
        <family val="2"/>
      </rPr>
      <t xml:space="preserve"> Cancelación de saldos por $6,823.64 SH/2382-2/2015</t>
    </r>
  </si>
  <si>
    <t xml:space="preserve">La Campesina (Los Tulipanes) </t>
  </si>
  <si>
    <t>15-ZR-0976-2013</t>
  </si>
  <si>
    <r>
      <t xml:space="preserve">Ampliación de Red Eléctrica en Calle Monte Alban y Uaxatum, Xochicalco, Miacatlán </t>
    </r>
    <r>
      <rPr>
        <b/>
        <sz val="6"/>
        <rFont val="Arial"/>
        <family val="2"/>
      </rPr>
      <t>Cancelación de saldos por $2,099.71 SH/2382-2/2015</t>
    </r>
  </si>
  <si>
    <t>SH-2298-2-2014
SH-2382-2-2015</t>
  </si>
  <si>
    <t>24/12/2014
25/11/2015</t>
  </si>
  <si>
    <t>03-ZU-0704-2009</t>
  </si>
  <si>
    <t>Suministro, Instalación y Puesta en Marcha de Bioreactor en el Centro de Bachillerato tecnológico Agropecuario (CBTA No. 129) en el Municipio de Axochiapan</t>
  </si>
  <si>
    <t>BBVA BANCOMER
0165750466</t>
  </si>
  <si>
    <t>O.R.F. 2009 (46.- MEJORAMIENTO DE LA INFRA. DE EDUCACIÓN MEDIA SUPERIOR 2009</t>
  </si>
  <si>
    <t>IR-048-2014</t>
  </si>
  <si>
    <t>SH-0760-2-2014</t>
  </si>
  <si>
    <t>CONVENIOS FEDERALES 30.- APOYO PLANTELES DE EDUCACIÓN MEDIA SUPERIOR INFRA. 2012</t>
  </si>
  <si>
    <t>O.P.F. INFRAESTRUCTURA EDUCACION MEDIA SUPERIOR 2007</t>
  </si>
  <si>
    <t>08-ZU-0815-2014</t>
  </si>
  <si>
    <t xml:space="preserve">Proyecto de Infraestructura en Seguridad Instalación y Puesta en Funcionamiento de Centro de Control, Comunicación, Cómputo, Coordinación y Comando C-5 en la localidad de Palo Escrito, Emiliano Zapata </t>
  </si>
  <si>
    <t>SANTANDER
65504575659</t>
  </si>
  <si>
    <t xml:space="preserve"> CONVENIOS FEDERALES 31.- RAMO 23 CONTINGENCIAS ECONOMICAS "D" 2014</t>
  </si>
  <si>
    <t>Palo Escrito</t>
  </si>
  <si>
    <t>AD-157-2014</t>
  </si>
  <si>
    <t>SH/2093-2/2014</t>
  </si>
  <si>
    <t>24-ZU-0940-2013</t>
  </si>
  <si>
    <t>Construcción de Techumbre en Cancha de Usos Múltiples de la Escuela Telesecundaria General José Rodríguez, En San Pablo Hidalgo, Tlaltizapán</t>
  </si>
  <si>
    <t xml:space="preserve">24.- Tlaltizapán de Zapata </t>
  </si>
  <si>
    <t>San Pablo Hidalgo</t>
  </si>
  <si>
    <t>AD-022-2014</t>
  </si>
  <si>
    <t>SH-1672-2-2014</t>
  </si>
  <si>
    <t>07-ZR-0817-2014</t>
  </si>
  <si>
    <t>4DZP17052691</t>
  </si>
  <si>
    <t xml:space="preserve">Construcción de 28 Cisternas Domiciliarias en Cuernavaca </t>
  </si>
  <si>
    <t xml:space="preserve">Cerritos de García </t>
  </si>
  <si>
    <t>IR-143-2014</t>
  </si>
  <si>
    <t>SH/2156-2/2014</t>
  </si>
  <si>
    <t>07-ZU-0772-2014</t>
  </si>
  <si>
    <t>170073ME002</t>
  </si>
  <si>
    <r>
      <t xml:space="preserve">Construcción de la Primera Etapa del Centro de Desarrollo Comunitario Los Chocolates </t>
    </r>
    <r>
      <rPr>
        <b/>
        <sz val="6"/>
        <rFont val="Arial"/>
        <family val="2"/>
      </rPr>
      <t>(Reintegro de Convenios por $15,952.69 DGOP/0679/2015 24/04/15)</t>
    </r>
  </si>
  <si>
    <t>LPF-018-2014</t>
  </si>
  <si>
    <t>26-ZR-0427-2014</t>
  </si>
  <si>
    <t>Costrucción de 1 Aula didáctica Módulo de Dirección y Sanitarios y Obra Exterior para el Jardín de Niños "Tlatoani", en el Municipio de Tlayacapan</t>
  </si>
  <si>
    <t>IR-095-2014</t>
  </si>
  <si>
    <t>30-ZU-0785-2014</t>
  </si>
  <si>
    <t>170303ME013</t>
  </si>
  <si>
    <r>
      <t xml:space="preserve">Alumbrado Público en Av. Lázaro Cárdenas y Av. Benito Juárez </t>
    </r>
    <r>
      <rPr>
        <b/>
        <sz val="6"/>
        <rFont val="Arial"/>
        <family val="2"/>
      </rPr>
      <t>(Reintegro de Convenios por $2,677.41 DGOP/0679/2015 24/04/15)</t>
    </r>
  </si>
  <si>
    <t>06-ZU-0838-2014</t>
  </si>
  <si>
    <t xml:space="preserve">Rehabilitación de la Plaza y Fuerte de Galeana e Imagen Urbana de Cuautla, Morelos </t>
  </si>
  <si>
    <t>CONVENIOS FEDERALES 79.- CONTINGECIAS MORELOS 2014</t>
  </si>
  <si>
    <t>AD-195-2014</t>
  </si>
  <si>
    <t>SH-2154-2-2014
SH-1558-2-2015</t>
  </si>
  <si>
    <t>05/12/2014
10/08/2015</t>
  </si>
  <si>
    <t>150 DIAS</t>
  </si>
  <si>
    <t>21-ZU-0834-2014</t>
  </si>
  <si>
    <r>
      <t xml:space="preserve">Remodelación del módulo de Tetecala </t>
    </r>
    <r>
      <rPr>
        <b/>
        <sz val="6"/>
        <rFont val="Arial"/>
        <family val="2"/>
      </rPr>
      <t>Cancelación de Saldos por $6,293.16 SSIO/DA/375/2015</t>
    </r>
  </si>
  <si>
    <t>AD-202-2014</t>
  </si>
  <si>
    <t>SH/2130-2/2014
SH-1978-2-2015</t>
  </si>
  <si>
    <t>02/12/2014
02/10/2015</t>
  </si>
  <si>
    <t>10-ZU-0833-2014</t>
  </si>
  <si>
    <r>
      <t xml:space="preserve">Remodelación del módulo de Amayuca </t>
    </r>
    <r>
      <rPr>
        <b/>
        <sz val="6"/>
        <rFont val="Arial"/>
        <family val="2"/>
      </rPr>
      <t>Cancelación de Saldos por $13,267.22 SSIO/DA/375/2015</t>
    </r>
  </si>
  <si>
    <t>Amayuca</t>
  </si>
  <si>
    <t>AD-201-2014</t>
  </si>
  <si>
    <t>31-ZU-0832-2014</t>
  </si>
  <si>
    <r>
      <t>Remodelación del Módulo de Seguridad Torre 31</t>
    </r>
    <r>
      <rPr>
        <b/>
        <sz val="6"/>
        <rFont val="Arial"/>
        <family val="2"/>
      </rPr>
      <t xml:space="preserve"> Cancelación de Saldos por $18,064.88 SSIO/DA/390/2015</t>
    </r>
  </si>
  <si>
    <t>AD-199-2014</t>
  </si>
  <si>
    <t>SH/2130-2/2014
SH-2043-2-2015</t>
  </si>
  <si>
    <t>02/12/2014
09/10/2015</t>
  </si>
  <si>
    <t>11-ZU-0519-2014</t>
  </si>
  <si>
    <t xml:space="preserve">Remodelación y Construcción del Módulo de Seguridad la Joya </t>
  </si>
  <si>
    <t>La Joya</t>
  </si>
  <si>
    <t>AD-203-2014</t>
  </si>
  <si>
    <t>SH/1586-2/2014
SH/2130-2/2014</t>
  </si>
  <si>
    <t>02/12/2014
02/12/2014</t>
  </si>
  <si>
    <r>
      <t xml:space="preserve">Proyecto Desarrollo Industrial Verde de Yecapixtla (DIVE) 1ra. Etapa </t>
    </r>
    <r>
      <rPr>
        <b/>
        <sz val="6"/>
        <rFont val="Arial"/>
        <family val="2"/>
      </rPr>
      <t>Cancelación de saldos por $31,291.21 SSIO/DA/307/2015</t>
    </r>
  </si>
  <si>
    <t>IR-008-2015</t>
  </si>
  <si>
    <t>FM/DG/545-2014</t>
  </si>
  <si>
    <t>18-ZU-0666-2014</t>
  </si>
  <si>
    <t>170181ME011</t>
  </si>
  <si>
    <r>
      <t xml:space="preserve">Habilitación del Centro de Desarrollo Comunitario Col. Rubén Jaramillo </t>
    </r>
    <r>
      <rPr>
        <b/>
        <sz val="6"/>
        <rFont val="Arial"/>
        <family val="2"/>
      </rPr>
      <t>(Reintegro de Convenios por $886.01 DGOP/0679/2015 24/04/15)</t>
    </r>
  </si>
  <si>
    <t xml:space="preserve">Rubén Jaramillo </t>
  </si>
  <si>
    <t>IR-122-2014</t>
  </si>
  <si>
    <t>18-ZU-0740-2014</t>
  </si>
  <si>
    <t>170181ME008</t>
  </si>
  <si>
    <r>
      <t xml:space="preserve">Adecuación de Imagen Institucional del Centro de Desarrollo Comunitario Ruben Jaramillo </t>
    </r>
    <r>
      <rPr>
        <b/>
        <sz val="6"/>
        <rFont val="Arial"/>
        <family val="2"/>
      </rPr>
      <t>(Reintegro de Convenios por $1,191.87 DGOP/0679/2015 24/04/15)</t>
    </r>
  </si>
  <si>
    <t>18-ZU-0775-2014</t>
  </si>
  <si>
    <t>170181ME016</t>
  </si>
  <si>
    <r>
      <t>Equipamiento de un Área en el Centro de Desarrollo Comunitario Rubén Jaramillo</t>
    </r>
    <r>
      <rPr>
        <b/>
        <sz val="6"/>
        <rFont val="Arial"/>
        <family val="2"/>
      </rPr>
      <t xml:space="preserve"> (Reintegro de Convenios por $1,070.39 DGOP/0679/2015 24/04/15) </t>
    </r>
  </si>
  <si>
    <t xml:space="preserve"> SH/2242-2/2014</t>
  </si>
  <si>
    <t>18-ZU-0776-2014</t>
  </si>
  <si>
    <t>170181ME012</t>
  </si>
  <si>
    <r>
      <t xml:space="preserve">Habilitación del Centro de Desarrollo Comunitario Morelos </t>
    </r>
    <r>
      <rPr>
        <b/>
        <sz val="6"/>
        <rFont val="Arial"/>
        <family val="2"/>
      </rPr>
      <t>(Reintegro de Convenios por $1,580.67 DGOP/0679/2015 24/04/15)</t>
    </r>
  </si>
  <si>
    <t>Morelos</t>
  </si>
  <si>
    <t>06-ZR-0875-2014</t>
  </si>
  <si>
    <t>Electrificación de Calle 13 de Septiembre Col. Tierra Larga, Cuautla</t>
  </si>
  <si>
    <t>Lucy Meza</t>
  </si>
  <si>
    <t>RAMO 33 FONDO 3 FISE 2014</t>
  </si>
  <si>
    <t xml:space="preserve">Col. Tierra Larga </t>
  </si>
  <si>
    <t>IR-161-2014</t>
  </si>
  <si>
    <t>SH-2302-2-2014</t>
  </si>
  <si>
    <t>24-ZR-0967-2013</t>
  </si>
  <si>
    <r>
      <t xml:space="preserve">Adecuaciones en Unidad Deportiva El Cerrito, Tlaltizapán </t>
    </r>
    <r>
      <rPr>
        <b/>
        <sz val="6"/>
        <rFont val="Arial"/>
        <family val="2"/>
      </rPr>
      <t>Cancelación de Saldos por $3,794.61 SSIO/DA/389/2015</t>
    </r>
  </si>
  <si>
    <t>Carpintero</t>
  </si>
  <si>
    <t>R-33 F-8 FAFEF 2013</t>
  </si>
  <si>
    <t>24.-Tlaltizapán</t>
  </si>
  <si>
    <t xml:space="preserve">Tlaltizapán de Pacheco </t>
  </si>
  <si>
    <t>AD-223-2014</t>
  </si>
  <si>
    <t>SH-2172-2-2014
SH-2043-2-2015</t>
  </si>
  <si>
    <t>08/12/2014
09/10/2015</t>
  </si>
  <si>
    <t>06-ZU-0878-2014</t>
  </si>
  <si>
    <r>
      <t xml:space="preserve">Electrificación de Calles Laureles , Cedros y Cerrada Fresnos, Colonia Emiliano Zapata Cuautla </t>
    </r>
    <r>
      <rPr>
        <b/>
        <sz val="6"/>
        <rFont val="Arial"/>
        <family val="2"/>
      </rPr>
      <t>Cancelación de Saldos por $3,502.24 SSIO/DA/0481/2015</t>
    </r>
  </si>
  <si>
    <t>BANAMEX 70064529518</t>
  </si>
  <si>
    <t>AD-192-2014</t>
  </si>
  <si>
    <t>SH-2302-2-2014
SH-2492-2-2015</t>
  </si>
  <si>
    <t>24/12/2014
07/12/2015</t>
  </si>
  <si>
    <t>30 Días</t>
  </si>
  <si>
    <t>06-ZU-0877-2014</t>
  </si>
  <si>
    <t xml:space="preserve">Electrificación de Calles Miguel Hidalgo Col. Año de Juárez, Cuautla. </t>
  </si>
  <si>
    <t xml:space="preserve">Año de Juárez </t>
  </si>
  <si>
    <t>AD-191-2014</t>
  </si>
  <si>
    <t>06-ZR-0886-2014</t>
  </si>
  <si>
    <r>
      <t xml:space="preserve">Electrificación de Calles del Campesino, 1era. Y 2da. Cerradas del Campesino, Col. Morelos, Cuautla. </t>
    </r>
    <r>
      <rPr>
        <b/>
        <sz val="6"/>
        <rFont val="Arial"/>
        <family val="2"/>
      </rPr>
      <t>Cancelación de Saldos por $6,985.75 SSIO/DA/0481/2015</t>
    </r>
  </si>
  <si>
    <t>AD-188-2014</t>
  </si>
  <si>
    <t>06-ZR-0885-2014</t>
  </si>
  <si>
    <t>Electrificación de Calles 1 de Junio, Av. Sta.María y Fresnales Col. Gabriel Tepepa Ampliación Vista Hermosa, Cuautla.</t>
  </si>
  <si>
    <t>AD-189-2014</t>
  </si>
  <si>
    <t>06-ZR-0879-2014</t>
  </si>
  <si>
    <t xml:space="preserve">Electrificación de Calles Camino a la Loma, Col. Peña Flores, Cuautla </t>
  </si>
  <si>
    <t>Peña Flores</t>
  </si>
  <si>
    <t>AD-187-2014</t>
  </si>
  <si>
    <t>SH-2319-2-2014</t>
  </si>
  <si>
    <t>06-ZR-0887-2014</t>
  </si>
  <si>
    <t>Electrificación Calles Prolongación Alvaro Obregón, La Ceiba y Tabasco Col. Iztaccihuatl, Ampliación Sur-Oriente Cuautla</t>
  </si>
  <si>
    <t>Iztaccihuatl</t>
  </si>
  <si>
    <t>IR-160-2014</t>
  </si>
  <si>
    <t>15-ZR-0975-2013</t>
  </si>
  <si>
    <r>
      <t xml:space="preserve">Ampliación de Red Eléctrica en Calle Orquideas, Vista Hermosa, Miacatlán </t>
    </r>
    <r>
      <rPr>
        <b/>
        <sz val="6"/>
        <rFont val="Arial"/>
        <family val="2"/>
      </rPr>
      <t>Cancelación de Saldos por $5,381.25 SSIO/DA/430/2015</t>
    </r>
  </si>
  <si>
    <t>Vista Hermosa</t>
  </si>
  <si>
    <t>AD-260-2014</t>
  </si>
  <si>
    <t>SH-2173-2/2014
SH-2186-2-2015</t>
  </si>
  <si>
    <t>08/12/2014
30/10/2015</t>
  </si>
  <si>
    <t>07-ZR-0867-2014</t>
  </si>
  <si>
    <t>4DZP17049671</t>
  </si>
  <si>
    <t xml:space="preserve">Construcción de 24 Cisternas Domiciliarias en Cuernavaca </t>
  </si>
  <si>
    <t>IR-148-2014</t>
  </si>
  <si>
    <t>SH-2179-2-2014</t>
  </si>
  <si>
    <t>29-ZU-0437-2014</t>
  </si>
  <si>
    <t>Rehabilitación de Sanitarios, Primaria 16 de Septiembre en el Municipio de Yautepec</t>
  </si>
  <si>
    <t>Oaxtepec  Centro</t>
  </si>
  <si>
    <t>AD-101-2014</t>
  </si>
  <si>
    <t>06-ZU-0904-2014</t>
  </si>
  <si>
    <r>
      <t xml:space="preserve">Proyecto Ejecutivo del Puente Cuautlixco, Los Sabino, Cuautla </t>
    </r>
    <r>
      <rPr>
        <b/>
        <sz val="6"/>
        <rFont val="Arial"/>
        <family val="2"/>
      </rPr>
      <t>(SE CANCELA ECONOMIA CON OFICIO DA/308/2015)</t>
    </r>
  </si>
  <si>
    <t>Tadeo</t>
  </si>
  <si>
    <t>01.- PIPE 2014</t>
  </si>
  <si>
    <t>17.- tramitar y Dar Seguimiento a los Proyectos Ejecutivos de Obras para su Autorización</t>
  </si>
  <si>
    <t>Los Sabino</t>
  </si>
  <si>
    <t>AD-194-2014</t>
  </si>
  <si>
    <t>SH/2209-2/2014
SH-1926-2-2015</t>
  </si>
  <si>
    <t>11/12/2014
23/09/2015</t>
  </si>
  <si>
    <t>06-ZU-0906-2014</t>
  </si>
  <si>
    <t>Electrificación de Calles Vicente Guerrero 1a. Y 2a. Cerrada de Vicente Guerrero Col. Gabriel Tepepa Ampliación Tepetates, Cuautla</t>
  </si>
  <si>
    <t>AD-190-2014</t>
  </si>
  <si>
    <t>15-ZR-0978-2013</t>
  </si>
  <si>
    <t>Ampliación de Red Eléctrica en Callejón del Zopilote, Mirador, Miacatlán</t>
  </si>
  <si>
    <t>El Mirador</t>
  </si>
  <si>
    <t>AD-261-2014</t>
  </si>
  <si>
    <t>SH/2211-2/2014</t>
  </si>
  <si>
    <t>02-ZR-0977-2013</t>
  </si>
  <si>
    <r>
      <t xml:space="preserve">Ampliación de Red Eléctrica Camino Real en la Cuachizolotera, Atlatlahucan </t>
    </r>
    <r>
      <rPr>
        <b/>
        <sz val="6"/>
        <rFont val="Arial"/>
        <family val="2"/>
      </rPr>
      <t>Cancelación de saldos por $6,098.95 SSIO/DA/435/2015</t>
    </r>
  </si>
  <si>
    <t>AD-001-2015</t>
  </si>
  <si>
    <t>SH/2211-2/2014
SH-2220-2-2015</t>
  </si>
  <si>
    <t>11/12/2014
30/10/2015</t>
  </si>
  <si>
    <t>Remodelación de la Casa de Día de Cuautla del Sistema DIF del Estado de Morelos</t>
  </si>
  <si>
    <t xml:space="preserve">RECURSOS PROPIOS SISTEMA DIF MORELOS </t>
  </si>
  <si>
    <t>7.- Cuautla</t>
  </si>
  <si>
    <t>AD-212-2014</t>
  </si>
  <si>
    <t>DIF/DAYF-901-SRF-922-PPTO-324-2014</t>
  </si>
  <si>
    <t>08-ZR-0788-2013</t>
  </si>
  <si>
    <t xml:space="preserve">Ampliación de Red Eléctrica de la Col. Lomas del Sur, Emiliano Zapata </t>
  </si>
  <si>
    <t xml:space="preserve">Loma Sur </t>
  </si>
  <si>
    <t>06-ZU-0980-2013</t>
  </si>
  <si>
    <t xml:space="preserve">Ampliación de Red Eléctrica en Calle el Mirador Col. El Polvorín 18 de Septiembre, Cuautla </t>
  </si>
  <si>
    <t>Polvorín</t>
  </si>
  <si>
    <t>04-ZU-0796-2013</t>
  </si>
  <si>
    <t>Ampliación de Red Eléctrica Col. Lomas de Anenecuilco, Ayala</t>
  </si>
  <si>
    <t>04.- Ciudad Ayala</t>
  </si>
  <si>
    <t>AD-012-2015</t>
  </si>
  <si>
    <t>08-ZR-0984-2013</t>
  </si>
  <si>
    <r>
      <t xml:space="preserve">Ampliación de Red Eléctrica de la Col. Morelos, Emiliano Zapata </t>
    </r>
    <r>
      <rPr>
        <b/>
        <sz val="6"/>
        <rFont val="Arial"/>
        <family val="2"/>
      </rPr>
      <t>Cancelación de Saldos por $4,002.40 SSIO/DA/430/2015</t>
    </r>
  </si>
  <si>
    <t xml:space="preserve">Villa Morelos </t>
  </si>
  <si>
    <t>AD-029-2015</t>
  </si>
  <si>
    <t>SH/2211-2/2014
SH-2186-2-2015</t>
  </si>
  <si>
    <t>12-ZU-0795-2013</t>
  </si>
  <si>
    <t xml:space="preserve">Rehabilitación de la Cancha Deportiva Alfonso Mejía Flores </t>
  </si>
  <si>
    <t>AD-014-2015</t>
  </si>
  <si>
    <t>SH-2207-2-2014</t>
  </si>
  <si>
    <t>06-ZU-0912-2014</t>
  </si>
  <si>
    <r>
      <t xml:space="preserve">Remodelación en el Cuartel Torre 21 "Cuautla" </t>
    </r>
    <r>
      <rPr>
        <b/>
        <sz val="6"/>
        <rFont val="Arial"/>
        <family val="2"/>
      </rPr>
      <t>Cancelación de Saldos por $10,400.83 SSIO/DA/375/2015</t>
    </r>
  </si>
  <si>
    <t>Tetelcingo</t>
  </si>
  <si>
    <t>AD-209-2014</t>
  </si>
  <si>
    <t>SH/2333-2/2014
SH-1978-2-2015</t>
  </si>
  <si>
    <t>30/12/2014
02/10/2015</t>
  </si>
  <si>
    <t>07-ZU-0895-2012</t>
  </si>
  <si>
    <t xml:space="preserve">Rehabilitación de Parque Denver Col. Ahuatlán, Cuernavaca   </t>
  </si>
  <si>
    <t>Jordi Messenguer</t>
  </si>
  <si>
    <t>BANAMEX
70022548865</t>
  </si>
  <si>
    <t>RAMO 33 FONDO 14 FAFEF 2012</t>
  </si>
  <si>
    <t xml:space="preserve">26.- Infraestructura Deportiva </t>
  </si>
  <si>
    <t>IR-179-2014</t>
  </si>
  <si>
    <t>SH/2205-2/2014</t>
  </si>
  <si>
    <t>24-ZR-0905-2014</t>
  </si>
  <si>
    <t xml:space="preserve">Techumbre en Esc. Sec. Técnica No. 13, Tlaltizapán </t>
  </si>
  <si>
    <t xml:space="preserve">24.- Tlaltizapán </t>
  </si>
  <si>
    <t xml:space="preserve">Ticumán </t>
  </si>
  <si>
    <t>IR-180-2014</t>
  </si>
  <si>
    <t>SH-1978-2-2014</t>
  </si>
  <si>
    <t>S/ INDIRECTOS</t>
  </si>
  <si>
    <t>20-ZU-0879-2013</t>
  </si>
  <si>
    <t>Remodelación del Auditorio Municipal Ilhuicalli</t>
  </si>
  <si>
    <t xml:space="preserve">03.- Infraestructura de Turismo </t>
  </si>
  <si>
    <t>004.- Tepoztlan Centro</t>
  </si>
  <si>
    <t>IR-202-2013</t>
  </si>
  <si>
    <t>SH-0053-2-2014
SSP/203-BIS-JM/2014</t>
  </si>
  <si>
    <t>17/01/2014
28/02/2014</t>
  </si>
  <si>
    <r>
      <t>Remodelación del Auditorio Municipal Ilhuicalli</t>
    </r>
    <r>
      <rPr>
        <b/>
        <sz val="6"/>
        <rFont val="Arial"/>
        <family val="2"/>
      </rPr>
      <t xml:space="preserve"> Cancelación de saldos por $45,515.41 SSIO/DA/458/2015 </t>
    </r>
  </si>
  <si>
    <t>PIPE 2013 (REFRENDO)</t>
  </si>
  <si>
    <t>SH-0053-2-2014
SSP/203-BIS-JM/2014
SH-2220-2-2015</t>
  </si>
  <si>
    <t>17/01/2014
28/02/2014
12/11/2015</t>
  </si>
  <si>
    <t>07-ZU-0911-2014</t>
  </si>
  <si>
    <r>
      <t xml:space="preserve">Remodelación en el Cuartel Torre "Lomas" </t>
    </r>
    <r>
      <rPr>
        <b/>
        <sz val="6"/>
        <rFont val="Arial"/>
        <family val="2"/>
      </rPr>
      <t>Cancelación de Saldos por $10,303.67 SSIO/DA/375/2015</t>
    </r>
  </si>
  <si>
    <t>Lomas de Cortés</t>
  </si>
  <si>
    <t>AD-206-2014</t>
  </si>
  <si>
    <t>SH/2210-2/2014
SH-1978-2-2015</t>
  </si>
  <si>
    <t>11/12/2014
02/10/2015</t>
  </si>
  <si>
    <t>17-ZR-0973-2013</t>
  </si>
  <si>
    <t>Techumbre de Usos Múltiples en Jardín de Niños Dr. Armando León Bejarano Ubicada en la Comunidad de Tilzapotla, Puente de Ixtla</t>
  </si>
  <si>
    <t>Tilzapotla</t>
  </si>
  <si>
    <t>AD-165-2014</t>
  </si>
  <si>
    <t>SH-2272-2-2014</t>
  </si>
  <si>
    <t>11-ZR-0913-2014</t>
  </si>
  <si>
    <t>Ampliación de Red Eléctrica para Centro de Salud, Vista Hermosa, Jiutepec</t>
  </si>
  <si>
    <t>A.D.-226/2014</t>
  </si>
  <si>
    <t>SH/2346-2/2014</t>
  </si>
  <si>
    <t>25-ZR-0889-2014</t>
  </si>
  <si>
    <t>Construcción de Barda Perimetral (180ml) J.N. Miguel Hidalgo I. Costilla</t>
  </si>
  <si>
    <t>AD-210-2014</t>
  </si>
  <si>
    <t>SH/2232-2/2014</t>
  </si>
  <si>
    <t>11-ZU-0974-2013</t>
  </si>
  <si>
    <r>
      <t>Muro de Colindancia Esc. Prim. Miahuaxochitl en el Poblado de Tejalpa, Jiutepec</t>
    </r>
    <r>
      <rPr>
        <b/>
        <sz val="6"/>
        <rFont val="Arial"/>
        <family val="2"/>
      </rPr>
      <t xml:space="preserve"> Cancelación de saldos por $3,951.52 SSIO/DA/419/2015</t>
    </r>
  </si>
  <si>
    <t>AD-218-2014</t>
  </si>
  <si>
    <t>SH-2231-2-2014
SH-2121-2-2015</t>
  </si>
  <si>
    <t>15/12/2014
23/10/2015</t>
  </si>
  <si>
    <t>99-ZU-0891-2014</t>
  </si>
  <si>
    <t>Parque Lineal Chapultepec Primera Etapa</t>
  </si>
  <si>
    <t>LPF-023-2014</t>
  </si>
  <si>
    <t>SH-2160-2-2014</t>
  </si>
  <si>
    <t>06-ZR-0998-2013</t>
  </si>
  <si>
    <t>Ampliación de Red Eléctrica Av. Circunvalación Col. 3 de Mayo, Cuautla</t>
  </si>
  <si>
    <t xml:space="preserve">3 de Mayo </t>
  </si>
  <si>
    <t>DGLCOP-AD-033-2015</t>
  </si>
  <si>
    <t>SH-2298-2-2014</t>
  </si>
  <si>
    <t>18-ZU-1000-2013</t>
  </si>
  <si>
    <t xml:space="preserve">Ampliación de Red Eléctrica Calle Palma y Periodista, col. Santa Úrsula 2da. Sección, Temixco </t>
  </si>
  <si>
    <t>Santa Ursula</t>
  </si>
  <si>
    <t>AD-039-2015</t>
  </si>
  <si>
    <t>25-ZR-0999-2013</t>
  </si>
  <si>
    <t xml:space="preserve">Ampliación de Red Eléctrica Calle Magnolias, Col. Alfredo V,. Bonfil, Tlaquiltenango  </t>
  </si>
  <si>
    <t xml:space="preserve">Alfredo V. Bonfil </t>
  </si>
  <si>
    <t>AD-038-2015</t>
  </si>
  <si>
    <t>18-ZU-1005-2013</t>
  </si>
  <si>
    <t>Ampliación de Red Eléctrica Calle Sabinos, Col. Loma Bonita, Temixco</t>
  </si>
  <si>
    <t>AD-036-2015</t>
  </si>
  <si>
    <t>28-ZR-1004-2013</t>
  </si>
  <si>
    <t xml:space="preserve">Ampliación de Red Eléctrica Calle Tamarindos y Limones, Col. Las Flores, Xochitepec. </t>
  </si>
  <si>
    <t>Las Flores</t>
  </si>
  <si>
    <t>AD-037-2015</t>
  </si>
  <si>
    <t>90 Dias</t>
  </si>
  <si>
    <t>28-ZR-1002-2013</t>
  </si>
  <si>
    <t>Ampliación de Red Eléctrica Calle Tulipanes, Col. Las Flores, Xochitepec</t>
  </si>
  <si>
    <t>28-ZR-1003-2013</t>
  </si>
  <si>
    <t>Ampliación de Red Eléctrica Calle Naranjos, Col. Las Flores, Xochitepec.</t>
  </si>
  <si>
    <t>24-ZR-0992-2014</t>
  </si>
  <si>
    <t>17024EMF001</t>
  </si>
  <si>
    <r>
      <t>Cancha de Usos Múltiples San Rafael de Zaragoza</t>
    </r>
    <r>
      <rPr>
        <b/>
        <sz val="6"/>
        <rFont val="Arial"/>
        <family val="2"/>
      </rPr>
      <t xml:space="preserve"> (reintegro de economía por $1,722.38 DGOP/702/2015)</t>
    </r>
  </si>
  <si>
    <t xml:space="preserve">SCOTIABANK INVERLAT
65504578794
</t>
  </si>
  <si>
    <t>CONVENIOS FEDERALES 23.- RESCATE DE ESPACIOS PÚBLICOS 2014</t>
  </si>
  <si>
    <t>San Rafael Zaragoza</t>
  </si>
  <si>
    <t>IR-166-2014</t>
  </si>
  <si>
    <t>SH-2295-2-2014</t>
  </si>
  <si>
    <t>04-ZR-0991-2014</t>
  </si>
  <si>
    <t>17004EMF001</t>
  </si>
  <si>
    <r>
      <t xml:space="preserve">Rehabilitación de Plaza Chinameca </t>
    </r>
    <r>
      <rPr>
        <b/>
        <sz val="6"/>
        <rFont val="Arial"/>
        <family val="2"/>
      </rPr>
      <t>(reintegro de economía por $5,603.77 DGOP/699/2015)</t>
    </r>
  </si>
  <si>
    <t xml:space="preserve">Chinameca </t>
  </si>
  <si>
    <t>LPF-025-2014</t>
  </si>
  <si>
    <t>06-ZU-0996-2014</t>
  </si>
  <si>
    <t>17006EMF001</t>
  </si>
  <si>
    <r>
      <t xml:space="preserve">Rehabilitación de Cancha y Ampliación de Gradas en la Unidad Deportiva José María Morelos y Pavón </t>
    </r>
    <r>
      <rPr>
        <b/>
        <sz val="6"/>
        <rFont val="Arial"/>
        <family val="2"/>
      </rPr>
      <t>(reintegro de economía por $6,846.14 DGOP/700/2015)</t>
    </r>
  </si>
  <si>
    <t>IR-165-2014</t>
  </si>
  <si>
    <t>05-ZR-0997-2014</t>
  </si>
  <si>
    <t>17005EMF001</t>
  </si>
  <si>
    <r>
      <t xml:space="preserve">Unidad Deportiva Chavarría </t>
    </r>
    <r>
      <rPr>
        <b/>
        <sz val="6"/>
        <rFont val="Arial"/>
        <family val="2"/>
      </rPr>
      <t>(reintegro de economía por $2,603.38 DGOP/701/2015)</t>
    </r>
  </si>
  <si>
    <t>5.- Coatlán del Rio</t>
  </si>
  <si>
    <t>Chavarría</t>
  </si>
  <si>
    <t>LPF-026-2014</t>
  </si>
  <si>
    <t>07-ZU-1044-2014</t>
  </si>
  <si>
    <r>
      <t xml:space="preserve">Construcción de Edificio en 2 Niveles, Psicología e Investigación Socioeconómica </t>
    </r>
    <r>
      <rPr>
        <b/>
        <sz val="6"/>
        <rFont val="Arial"/>
        <family val="2"/>
      </rPr>
      <t>Cancelación de Saldos por $0.01 SSIO/DA/473/2015</t>
    </r>
  </si>
  <si>
    <t>IR-004-2014</t>
  </si>
  <si>
    <t>SH/2333-2/2014</t>
  </si>
  <si>
    <t>Teopanzolco</t>
  </si>
  <si>
    <t>24-ZU-1010-2013</t>
  </si>
  <si>
    <r>
      <t xml:space="preserve">Ampliación de Red Eléctrica Calle Aztlán, Col. Cuauhtemoc, Tlaltizapán </t>
    </r>
    <r>
      <rPr>
        <b/>
        <sz val="6"/>
        <rFont val="Arial"/>
        <family val="2"/>
      </rPr>
      <t xml:space="preserve">Cancelación de saldos por $3,008.27 SSIO/DA/436/2015 </t>
    </r>
  </si>
  <si>
    <t>Cuauhtemoc</t>
  </si>
  <si>
    <t>AD-031-2015</t>
  </si>
  <si>
    <t>SH-2310-2-2014
SH-2220-2-2015</t>
  </si>
  <si>
    <t>29/12/2014
30/10/2015</t>
  </si>
  <si>
    <t>06-ZU-1006-2013</t>
  </si>
  <si>
    <t>Ampliación de Red Eléctrica Calle Las Palmas y Aralias, La Ciénega, Cuautla</t>
  </si>
  <si>
    <t>La Ciénega</t>
  </si>
  <si>
    <t>AD-030-2015</t>
  </si>
  <si>
    <t>SH/2310-2/2014</t>
  </si>
  <si>
    <t>06-ZU-1008-2013</t>
  </si>
  <si>
    <t xml:space="preserve">Ampliación de Red Eléctrica Calle Pino, Col. Narciso Mendoza, Cuautla </t>
  </si>
  <si>
    <t>Narciso Mendoza</t>
  </si>
  <si>
    <t>06-ZU-1009-2013</t>
  </si>
  <si>
    <t>Ampliación de Red Eléctrica Tetelcingo, Col. Tierra Larga, Cuautla</t>
  </si>
  <si>
    <t>Tierra Larga</t>
  </si>
  <si>
    <t>DGLCOP-AD-034-2015</t>
  </si>
  <si>
    <t>06-ZU-1007-2013</t>
  </si>
  <si>
    <t>Ampliación de Red Eléctrica Calle Cedros, Col. Narciso Mendoza, Cuautla</t>
  </si>
  <si>
    <t>AD-268-2014</t>
  </si>
  <si>
    <t>06-ZU-1011-2013</t>
  </si>
  <si>
    <t xml:space="preserve">Ampliación de Red Eléctrica Calle Cerrada Niño Artillero. Col. 19 de Febrero, Cuautla </t>
  </si>
  <si>
    <t>19 de Febrero</t>
  </si>
  <si>
    <t>AD-263-2014</t>
  </si>
  <si>
    <t>17-ZR-0970-2013</t>
  </si>
  <si>
    <r>
      <t xml:space="preserve">Construcción de Techumbre en Esc. Jardín de Niños Lucía Uribe de Flores de 18.20 X 9.00 en la Col. 10 de Mayo, Puente de Ixtla </t>
    </r>
    <r>
      <rPr>
        <b/>
        <sz val="6"/>
        <rFont val="Arial"/>
        <family val="2"/>
      </rPr>
      <t>Cancelación de Saldos por $3,753.56 SSIO/DA/397/2015</t>
    </r>
  </si>
  <si>
    <t>Rosalina (2da. Etapa)</t>
  </si>
  <si>
    <t>10 de Mayo</t>
  </si>
  <si>
    <t>AD-240-2014</t>
  </si>
  <si>
    <t>SH/2313-2/2014
SH-2063-2-2015</t>
  </si>
  <si>
    <t>29/12/2014
14/10/2015</t>
  </si>
  <si>
    <t>11-ZU-0983-2013</t>
  </si>
  <si>
    <t>Construcción de Techumbre en Cancha de Usos Múltiples en Esc. Vespertina Niños Héroes, CIVAC, Jiutepec</t>
  </si>
  <si>
    <t>CIVAC Los Robles</t>
  </si>
  <si>
    <t>IR-181-2014</t>
  </si>
  <si>
    <t>07-ZU-1011-2014</t>
  </si>
  <si>
    <t>Centro Cultural Juan Soriano</t>
  </si>
  <si>
    <t>21.- Infraestructura de Cultura</t>
  </si>
  <si>
    <t>Amatitlán</t>
  </si>
  <si>
    <t>LPF-020-2014</t>
  </si>
  <si>
    <t>SH-2308-2-2014</t>
  </si>
  <si>
    <t>07-ZU-1047-2014</t>
  </si>
  <si>
    <t>Rehabilitación de Plaza General Emiliano Zapata (Plaza de Armas) Morelos.</t>
  </si>
  <si>
    <t>CONVENIOS FEDERALES 79.- CONTINGENCIAS MORELOS 2014</t>
  </si>
  <si>
    <t>AD-196-2014</t>
  </si>
  <si>
    <t>SH/2341-2/2014</t>
  </si>
  <si>
    <t>130 DIAS</t>
  </si>
  <si>
    <t>07-ZU-1051-2014</t>
  </si>
  <si>
    <t>Auditorio Cultural Estatal</t>
  </si>
  <si>
    <t>LPF-019-2014</t>
  </si>
  <si>
    <t>SH-2340-2-2014</t>
  </si>
  <si>
    <t>360 dias</t>
  </si>
  <si>
    <t>17-ZU-0972-2013</t>
  </si>
  <si>
    <t>Remodelación de Sanitarios en la Escuela Prim. Justo Sierra Ubicada en la Col. Emiliano Zapata, Puente de Ixtla</t>
  </si>
  <si>
    <t>AD-166-2014</t>
  </si>
  <si>
    <t>25-ZU-1061-2014</t>
  </si>
  <si>
    <t>Construcción de la Unidad Deportiva Celerino Manzanares, (Techumbre y Cancha de Usos Múltiples) en Tlaquiltenango</t>
  </si>
  <si>
    <t>SANTANDER
65504578794</t>
  </si>
  <si>
    <t>78.- Rescate de espacios públicos</t>
  </si>
  <si>
    <t>26.- Tlaquiltenango</t>
  </si>
  <si>
    <t>Tlaquiltenango</t>
  </si>
  <si>
    <t>AD</t>
  </si>
  <si>
    <t>Recurso ejercido directamente del Municipio a Presupuesto.</t>
  </si>
  <si>
    <t>SH-2332-2-2014</t>
  </si>
  <si>
    <t>11-ZU-0570-2014</t>
  </si>
  <si>
    <t>Techumbre en Plaza Cívica de la Sec. Tec. 30 Ubicado en la Colonia Constitución, Municipio de Jiutepec, Mor.</t>
  </si>
  <si>
    <t xml:space="preserve">SJ.- Infraestructura Educativa  </t>
  </si>
  <si>
    <t>Constitución</t>
  </si>
  <si>
    <t>IR-172-2014</t>
  </si>
  <si>
    <t>SH-2174-2-2014</t>
  </si>
  <si>
    <t>17-ZU-0969-2013</t>
  </si>
  <si>
    <r>
      <t xml:space="preserve">Construccion de Techumbre en Esc. Jardin de Niños de 12.00 M x 10.00 M, Col. San Jose Vista Hermosa, Puente de Ixtla </t>
    </r>
    <r>
      <rPr>
        <b/>
        <sz val="6"/>
        <rFont val="Arial"/>
        <family val="2"/>
      </rPr>
      <t>Cancelación de Saldos por $3,341.39 SSIO/DA/397/2015</t>
    </r>
  </si>
  <si>
    <t>RAMO 33 FONDO 51. FAM BASICO 2013</t>
  </si>
  <si>
    <t>San Jose Vista Hermosa</t>
  </si>
  <si>
    <t>A.D-243-2014</t>
  </si>
  <si>
    <t>SH-2273-2-2014
SH-2063-2-2015</t>
  </si>
  <si>
    <t>22/12/2014
14/10/2015</t>
  </si>
  <si>
    <t>17-ZU-0968-2013</t>
  </si>
  <si>
    <r>
      <t>Construccion de Techumbre en Esc. Prim. Bandera Nacional de 12.60 M. x 12.00 Col. 24 de Febrero, Puente de Ixtla</t>
    </r>
    <r>
      <rPr>
        <b/>
        <sz val="6"/>
        <rFont val="Arial"/>
        <family val="2"/>
      </rPr>
      <t xml:space="preserve"> Cancelación de Saldos por $3,967.30 SSIO/DA/397/2015</t>
    </r>
  </si>
  <si>
    <t>24 de Febrero</t>
  </si>
  <si>
    <t>A.D.-242/2014</t>
  </si>
  <si>
    <t>SH-2272-2/2014
SH-2063-2-2015</t>
  </si>
  <si>
    <t>17-ZR-0971-2013</t>
  </si>
  <si>
    <r>
      <t xml:space="preserve">Construccion de Tecumbre en Esc. Prim. Juan F. Corzo 13.40 M X 10.00 M en la Col. El Coco, Puente de Ixtla </t>
    </r>
    <r>
      <rPr>
        <b/>
        <sz val="6"/>
        <rFont val="Arial"/>
        <family val="2"/>
      </rPr>
      <t>Cancelación de Saldos por $3,617.76 SSIO/DA/397/2015</t>
    </r>
  </si>
  <si>
    <t>El Coco</t>
  </si>
  <si>
    <t>AD-241-2014</t>
  </si>
  <si>
    <t>09-ZR-1012-2013</t>
  </si>
  <si>
    <r>
      <t xml:space="preserve">Construcción de Aula Cocina y Malla de Acero en la Prim. XXX Legislatura, Huitzilac  </t>
    </r>
    <r>
      <rPr>
        <b/>
        <sz val="6"/>
        <rFont val="Arial"/>
        <family val="2"/>
      </rPr>
      <t xml:space="preserve">Cancelación de Saldos por $10,107.25 SSIO/DA/346/2015 </t>
    </r>
  </si>
  <si>
    <t xml:space="preserve">RAMO 33 51 (FAM BASICO 2013) </t>
  </si>
  <si>
    <t xml:space="preserve">09.- Huitzilac </t>
  </si>
  <si>
    <t xml:space="preserve">Coajomulco </t>
  </si>
  <si>
    <t>IR-011-2015</t>
  </si>
  <si>
    <t>SH-2329-2-2014
SH-1926-2-2015</t>
  </si>
  <si>
    <t>30/12/2014
23/09/2015</t>
  </si>
  <si>
    <t>20-ZU-0798-2013</t>
  </si>
  <si>
    <t xml:space="preserve">Construcción de la Casa de la Cultura Santiago Tepetlapa 1ra. Etapa </t>
  </si>
  <si>
    <t>RAMO 33 8.- FAFEF 2013</t>
  </si>
  <si>
    <t>UE.- Sitios Históricos y Culturales</t>
  </si>
  <si>
    <t xml:space="preserve">5.- Infraestructura de Cultura </t>
  </si>
  <si>
    <t xml:space="preserve">20.- Tepoztlán </t>
  </si>
  <si>
    <t>3.- Santiago Tepetlapa</t>
  </si>
  <si>
    <t>IR-104-2014</t>
  </si>
  <si>
    <t>SH-1350-2-2014</t>
  </si>
  <si>
    <t>RECURSOS PROPIOS DIF</t>
  </si>
  <si>
    <t xml:space="preserve">Adquisición, Suministro e Instalación de un Transformador del Inmueble "El Vergel" del Sistema DIF Morelos </t>
  </si>
  <si>
    <t xml:space="preserve">El Vergel </t>
  </si>
  <si>
    <t>AD-129-2014</t>
  </si>
  <si>
    <t>DIF/DAyF-816/SRF-825/PPTO-302-2014</t>
  </si>
  <si>
    <t>TOTALES</t>
  </si>
  <si>
    <r>
      <t xml:space="preserve">Terminación de Puente Vehicular Tecomalco en Ayala </t>
    </r>
    <r>
      <rPr>
        <b/>
        <sz val="8"/>
        <rFont val="Arial"/>
        <family val="2"/>
      </rPr>
      <t>Cancelación de saldos por $17,672.62 SSIO/DA/302/2015</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</si>
</sst>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2]* #,##0.00_-;\-[$€-2]* #,##0.00_-;_-[$€-2]* &quot;-&quot;??_-"/>
    <numFmt numFmtId="165" formatCode="dd/mm/yyyy;@"/>
    <numFmt numFmtId="166" formatCode="0.0"/>
  </numFmts>
  <fonts count="24" x14ac:knownFonts="1">
    <font>
      <sz val="10"/>
      <name val="Arial"/>
      <family val="2"/>
    </font>
    <font>
      <sz val="10"/>
      <name val="Arial"/>
      <family val="2"/>
    </font>
    <font>
      <sz val="6"/>
      <name val="Arial"/>
      <family val="2"/>
    </font>
    <font>
      <b/>
      <sz val="14"/>
      <name val="Arial"/>
      <family val="2"/>
    </font>
    <font>
      <b/>
      <sz val="12"/>
      <name val="Arial"/>
      <family val="2"/>
    </font>
    <font>
      <b/>
      <sz val="11"/>
      <name val="Arial"/>
      <family val="2"/>
    </font>
    <font>
      <b/>
      <sz val="10"/>
      <name val="Arial"/>
      <family val="2"/>
    </font>
    <font>
      <sz val="5"/>
      <name val="Arial"/>
      <family val="2"/>
    </font>
    <font>
      <sz val="4"/>
      <name val="Arial"/>
      <family val="2"/>
    </font>
    <font>
      <b/>
      <sz val="6"/>
      <name val="Arial"/>
      <family val="2"/>
    </font>
    <font>
      <b/>
      <sz val="5"/>
      <name val="Arial"/>
      <family val="2"/>
    </font>
    <font>
      <b/>
      <sz val="4"/>
      <name val="Arial"/>
      <family val="2"/>
    </font>
    <font>
      <b/>
      <sz val="6"/>
      <color rgb="FFFF0000"/>
      <name val="Arial"/>
      <family val="2"/>
    </font>
    <font>
      <sz val="6"/>
      <color rgb="FFFF0000"/>
      <name val="Arial"/>
      <family val="2"/>
    </font>
    <font>
      <sz val="6"/>
      <color rgb="FF0070C0"/>
      <name val="Arial"/>
      <family val="2"/>
    </font>
    <font>
      <b/>
      <sz val="4"/>
      <color indexed="10"/>
      <name val="Arial"/>
      <family val="2"/>
    </font>
    <font>
      <b/>
      <sz val="6"/>
      <color indexed="10"/>
      <name val="Arial"/>
      <family val="2"/>
    </font>
    <font>
      <b/>
      <sz val="9"/>
      <color indexed="81"/>
      <name val="Tahoma"/>
      <family val="2"/>
    </font>
    <font>
      <sz val="9"/>
      <color indexed="81"/>
      <name val="Tahoma"/>
      <family val="2"/>
    </font>
    <font>
      <sz val="8"/>
      <name val="Arial"/>
      <family val="2"/>
    </font>
    <font>
      <b/>
      <sz val="8"/>
      <name val="Arial"/>
      <family val="2"/>
    </font>
    <font>
      <sz val="8"/>
      <color indexed="10"/>
      <name val="Arial"/>
      <family val="2"/>
    </font>
    <font>
      <b/>
      <sz val="8"/>
      <color indexed="10"/>
      <name val="Arial"/>
      <family val="2"/>
    </font>
    <font>
      <b/>
      <sz val="8"/>
      <color indexed="8"/>
      <name val="Arial"/>
      <family val="2"/>
    </font>
  </fonts>
  <fills count="10">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indexed="44"/>
        <bgColor indexed="64"/>
      </patternFill>
    </fill>
    <fill>
      <patternFill patternType="solid">
        <fgColor theme="0"/>
        <bgColor indexed="64"/>
      </patternFill>
    </fill>
    <fill>
      <patternFill patternType="solid">
        <fgColor theme="9" tint="0.59996337778862885"/>
        <bgColor indexed="64"/>
      </patternFill>
    </fill>
    <fill>
      <patternFill patternType="solid">
        <fgColor indexed="43"/>
        <bgColor indexed="64"/>
      </patternFill>
    </fill>
  </fills>
  <borders count="17">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s>
  <cellStyleXfs count="2">
    <xf numFmtId="164" fontId="0" fillId="0" borderId="0"/>
    <xf numFmtId="43" fontId="1" fillId="0" borderId="0" applyFont="0" applyFill="0" applyBorder="0" applyAlignment="0" applyProtection="0"/>
  </cellStyleXfs>
  <cellXfs count="279">
    <xf numFmtId="164" fontId="0" fillId="0" borderId="0" xfId="0"/>
    <xf numFmtId="3" fontId="2" fillId="0" borderId="0" xfId="0" applyNumberFormat="1" applyFont="1" applyFill="1" applyAlignment="1">
      <alignment horizontal="left" vertical="center"/>
    </xf>
    <xf numFmtId="4" fontId="2" fillId="0" borderId="0" xfId="0" applyNumberFormat="1" applyFont="1" applyFill="1" applyAlignment="1">
      <alignment horizontal="center" vertical="center"/>
    </xf>
    <xf numFmtId="1" fontId="2" fillId="0" borderId="0" xfId="0" applyNumberFormat="1" applyFont="1" applyFill="1" applyAlignment="1">
      <alignment horizontal="center" vertical="center"/>
    </xf>
    <xf numFmtId="4" fontId="2" fillId="0" borderId="0" xfId="0" applyNumberFormat="1" applyFont="1" applyFill="1" applyBorder="1" applyAlignment="1">
      <alignment horizontal="left" vertical="center"/>
    </xf>
    <xf numFmtId="4" fontId="2" fillId="0" borderId="0" xfId="0" applyNumberFormat="1" applyFont="1" applyFill="1" applyBorder="1" applyAlignment="1">
      <alignment horizontal="left" vertical="center" wrapText="1"/>
    </xf>
    <xf numFmtId="4" fontId="2" fillId="0" borderId="0" xfId="0" applyNumberFormat="1" applyFont="1" applyFill="1" applyBorder="1" applyAlignment="1">
      <alignment vertical="center"/>
    </xf>
    <xf numFmtId="4" fontId="2" fillId="0" borderId="0" xfId="0" applyNumberFormat="1" applyFont="1" applyFill="1" applyAlignment="1">
      <alignment horizontal="center" vertical="center" wrapText="1"/>
    </xf>
    <xf numFmtId="4" fontId="2" fillId="0" borderId="0" xfId="0" applyNumberFormat="1" applyFont="1" applyFill="1" applyAlignment="1">
      <alignment horizontal="left" vertical="center"/>
    </xf>
    <xf numFmtId="1" fontId="2" fillId="0" borderId="0" xfId="0" applyNumberFormat="1" applyFont="1" applyFill="1" applyAlignment="1">
      <alignment horizontal="left" vertical="center"/>
    </xf>
    <xf numFmtId="4" fontId="7" fillId="0" borderId="0" xfId="0" applyNumberFormat="1" applyFont="1" applyFill="1" applyAlignment="1">
      <alignment horizontal="left" vertical="center"/>
    </xf>
    <xf numFmtId="4" fontId="8" fillId="0" borderId="0" xfId="0" applyNumberFormat="1" applyFont="1" applyFill="1" applyAlignment="1">
      <alignment horizontal="left" vertical="center"/>
    </xf>
    <xf numFmtId="165" fontId="2" fillId="0" borderId="0" xfId="0" applyNumberFormat="1" applyFont="1" applyFill="1" applyAlignment="1">
      <alignment horizontal="left" vertical="center"/>
    </xf>
    <xf numFmtId="4" fontId="2" fillId="2" borderId="0" xfId="0" applyNumberFormat="1" applyFont="1" applyFill="1" applyAlignment="1">
      <alignment horizontal="left" vertical="center"/>
    </xf>
    <xf numFmtId="165" fontId="2" fillId="2" borderId="0" xfId="0" applyNumberFormat="1" applyFont="1" applyFill="1" applyAlignment="1">
      <alignment horizontal="left" vertical="center"/>
    </xf>
    <xf numFmtId="4" fontId="2" fillId="0" borderId="0" xfId="0" applyNumberFormat="1" applyFont="1" applyFill="1" applyAlignment="1">
      <alignment horizontal="right" vertical="center"/>
    </xf>
    <xf numFmtId="4" fontId="9" fillId="0" borderId="0" xfId="0" applyNumberFormat="1" applyFont="1" applyFill="1" applyAlignment="1">
      <alignment horizontal="right" vertical="center"/>
    </xf>
    <xf numFmtId="4" fontId="9" fillId="0" borderId="0" xfId="0" applyNumberFormat="1" applyFont="1" applyFill="1" applyAlignment="1">
      <alignment horizontal="left" vertical="center"/>
    </xf>
    <xf numFmtId="4" fontId="9" fillId="0" borderId="0" xfId="0" applyNumberFormat="1" applyFont="1" applyFill="1" applyAlignment="1">
      <alignment horizontal="center" vertical="center"/>
    </xf>
    <xf numFmtId="4" fontId="9" fillId="3" borderId="1" xfId="0" applyNumberFormat="1" applyFont="1" applyFill="1" applyBorder="1" applyAlignment="1">
      <alignment horizontal="center" vertical="center" wrapText="1"/>
    </xf>
    <xf numFmtId="4" fontId="8" fillId="3" borderId="3" xfId="0" applyNumberFormat="1" applyFont="1" applyFill="1" applyBorder="1" applyAlignment="1">
      <alignment horizontal="left" vertical="center"/>
    </xf>
    <xf numFmtId="4" fontId="9" fillId="3" borderId="2" xfId="0" applyNumberFormat="1" applyFont="1" applyFill="1" applyBorder="1" applyAlignment="1">
      <alignment horizontal="left" vertical="center"/>
    </xf>
    <xf numFmtId="4" fontId="9" fillId="3" borderId="2" xfId="0" applyNumberFormat="1" applyFont="1" applyFill="1" applyBorder="1" applyAlignment="1">
      <alignment vertical="center" wrapText="1"/>
    </xf>
    <xf numFmtId="4" fontId="0" fillId="3" borderId="3" xfId="0" applyNumberFormat="1" applyFill="1" applyBorder="1" applyAlignment="1">
      <alignment vertical="center"/>
    </xf>
    <xf numFmtId="4" fontId="9" fillId="3" borderId="6" xfId="0" applyNumberFormat="1" applyFont="1" applyFill="1" applyBorder="1" applyAlignment="1">
      <alignment horizontal="center" vertical="center" wrapText="1"/>
    </xf>
    <xf numFmtId="4" fontId="9" fillId="3" borderId="7" xfId="0" applyNumberFormat="1" applyFont="1" applyFill="1" applyBorder="1" applyAlignment="1">
      <alignment horizontal="center" vertical="center" wrapText="1"/>
    </xf>
    <xf numFmtId="165" fontId="9" fillId="3" borderId="1" xfId="0" applyNumberFormat="1" applyFont="1" applyFill="1" applyBorder="1" applyAlignment="1">
      <alignment horizontal="center" vertical="center" wrapText="1"/>
    </xf>
    <xf numFmtId="165" fontId="9" fillId="3" borderId="6" xfId="0" applyNumberFormat="1" applyFont="1" applyFill="1" applyBorder="1" applyAlignment="1">
      <alignment horizontal="center" vertical="center" wrapText="1"/>
    </xf>
    <xf numFmtId="4" fontId="9" fillId="3" borderId="8" xfId="0" applyNumberFormat="1" applyFont="1" applyFill="1" applyBorder="1" applyAlignment="1">
      <alignment horizontal="center" vertical="center" wrapText="1"/>
    </xf>
    <xf numFmtId="4" fontId="9" fillId="3" borderId="3" xfId="0" applyNumberFormat="1" applyFont="1" applyFill="1" applyBorder="1" applyAlignment="1">
      <alignment horizontal="center" vertical="center" wrapText="1"/>
    </xf>
    <xf numFmtId="4" fontId="9" fillId="3" borderId="9" xfId="0" applyNumberFormat="1" applyFont="1" applyFill="1" applyBorder="1" applyAlignment="1">
      <alignment horizontal="center" vertical="center" wrapText="1"/>
    </xf>
    <xf numFmtId="4" fontId="2" fillId="0" borderId="0" xfId="0" applyNumberFormat="1" applyFont="1" applyFill="1" applyBorder="1" applyAlignment="1">
      <alignment horizontal="center" vertical="center"/>
    </xf>
    <xf numFmtId="3" fontId="9" fillId="0" borderId="5" xfId="0" applyNumberFormat="1" applyFont="1" applyFill="1" applyBorder="1" applyAlignment="1">
      <alignment horizontal="center" vertical="center" wrapText="1"/>
    </xf>
    <xf numFmtId="4" fontId="2" fillId="0" borderId="5" xfId="0" applyNumberFormat="1" applyFont="1" applyFill="1" applyBorder="1" applyAlignment="1">
      <alignment horizontal="center" vertical="center" wrapText="1"/>
    </xf>
    <xf numFmtId="1" fontId="9" fillId="0" borderId="10" xfId="0" applyNumberFormat="1" applyFont="1" applyFill="1" applyBorder="1" applyAlignment="1">
      <alignment vertical="center" wrapText="1"/>
    </xf>
    <xf numFmtId="1" fontId="9" fillId="0" borderId="10" xfId="0" applyNumberFormat="1" applyFont="1" applyFill="1" applyBorder="1" applyAlignment="1">
      <alignment horizontal="center" vertical="center" wrapText="1"/>
    </xf>
    <xf numFmtId="4" fontId="2" fillId="0" borderId="10" xfId="0" applyNumberFormat="1" applyFont="1" applyFill="1" applyBorder="1" applyAlignment="1">
      <alignment horizontal="left" vertical="center" wrapText="1"/>
    </xf>
    <xf numFmtId="4" fontId="9" fillId="0" borderId="10" xfId="0" applyNumberFormat="1" applyFont="1" applyFill="1" applyBorder="1" applyAlignment="1">
      <alignment horizontal="left" vertical="center" wrapText="1"/>
    </xf>
    <xf numFmtId="1" fontId="2" fillId="0" borderId="11" xfId="0" applyNumberFormat="1" applyFont="1" applyFill="1" applyBorder="1" applyAlignment="1">
      <alignment horizontal="center" vertical="center" wrapText="1"/>
    </xf>
    <xf numFmtId="1" fontId="2" fillId="0" borderId="5" xfId="0" applyNumberFormat="1" applyFont="1" applyFill="1" applyBorder="1" applyAlignment="1">
      <alignment horizontal="center" vertical="center" wrapText="1"/>
    </xf>
    <xf numFmtId="4" fontId="11" fillId="0" borderId="11" xfId="0" applyNumberFormat="1" applyFont="1" applyFill="1" applyBorder="1" applyAlignment="1">
      <alignment vertical="center" wrapText="1"/>
    </xf>
    <xf numFmtId="4" fontId="7" fillId="0" borderId="10" xfId="0" applyNumberFormat="1" applyFont="1" applyFill="1" applyBorder="1" applyAlignment="1">
      <alignment vertical="center" wrapText="1"/>
    </xf>
    <xf numFmtId="4" fontId="8" fillId="0" borderId="10" xfId="0" applyNumberFormat="1" applyFont="1" applyFill="1" applyBorder="1" applyAlignment="1">
      <alignment vertical="center" wrapText="1"/>
    </xf>
    <xf numFmtId="4" fontId="8" fillId="0" borderId="5" xfId="0" applyNumberFormat="1" applyFont="1" applyFill="1" applyBorder="1" applyAlignment="1">
      <alignment vertical="center"/>
    </xf>
    <xf numFmtId="4" fontId="2" fillId="0" borderId="10" xfId="0" applyNumberFormat="1" applyFont="1" applyFill="1" applyBorder="1" applyAlignment="1">
      <alignment vertical="center" wrapText="1"/>
    </xf>
    <xf numFmtId="4" fontId="2" fillId="0" borderId="5" xfId="1" applyNumberFormat="1" applyFont="1" applyFill="1" applyBorder="1" applyAlignment="1">
      <alignment vertical="center" wrapText="1"/>
    </xf>
    <xf numFmtId="4" fontId="2" fillId="0" borderId="5" xfId="0" applyNumberFormat="1" applyFont="1" applyFill="1" applyBorder="1" applyAlignment="1">
      <alignment vertical="center" wrapText="1"/>
    </xf>
    <xf numFmtId="165" fontId="2" fillId="0" borderId="5" xfId="0" applyNumberFormat="1" applyFont="1" applyFill="1" applyBorder="1" applyAlignment="1">
      <alignment vertical="center" wrapText="1"/>
    </xf>
    <xf numFmtId="4" fontId="2" fillId="0" borderId="5" xfId="0" applyNumberFormat="1" applyFont="1" applyFill="1" applyBorder="1" applyAlignment="1">
      <alignment vertical="center"/>
    </xf>
    <xf numFmtId="4" fontId="2" fillId="0" borderId="10" xfId="1" applyNumberFormat="1" applyFont="1" applyFill="1" applyBorder="1" applyAlignment="1">
      <alignment vertical="center" wrapText="1"/>
    </xf>
    <xf numFmtId="165" fontId="2" fillId="0" borderId="10" xfId="1" applyNumberFormat="1" applyFont="1" applyFill="1" applyBorder="1" applyAlignment="1">
      <alignment vertical="center" wrapText="1"/>
    </xf>
    <xf numFmtId="4" fontId="2" fillId="0" borderId="10" xfId="1" applyNumberFormat="1" applyFont="1" applyFill="1" applyBorder="1" applyAlignment="1">
      <alignment horizontal="right" vertical="center" wrapText="1"/>
    </xf>
    <xf numFmtId="4" fontId="2" fillId="0" borderId="5" xfId="1" applyNumberFormat="1" applyFont="1" applyFill="1" applyBorder="1" applyAlignment="1">
      <alignment horizontal="right" vertical="center" wrapText="1"/>
    </xf>
    <xf numFmtId="4" fontId="9" fillId="0" borderId="5" xfId="1" applyNumberFormat="1" applyFont="1" applyFill="1" applyBorder="1" applyAlignment="1">
      <alignment horizontal="right" vertical="center" wrapText="1"/>
    </xf>
    <xf numFmtId="4" fontId="9" fillId="0" borderId="12" xfId="1" applyNumberFormat="1" applyFont="1" applyFill="1" applyBorder="1" applyAlignment="1">
      <alignment vertical="center" wrapText="1"/>
    </xf>
    <xf numFmtId="4" fontId="9" fillId="0" borderId="5" xfId="1" applyNumberFormat="1" applyFont="1" applyFill="1" applyBorder="1" applyAlignment="1">
      <alignment vertical="center" wrapText="1"/>
    </xf>
    <xf numFmtId="4" fontId="9" fillId="0" borderId="10" xfId="1" applyNumberFormat="1" applyFont="1" applyFill="1" applyBorder="1" applyAlignment="1">
      <alignment horizontal="right" vertical="center" wrapText="1"/>
    </xf>
    <xf numFmtId="4" fontId="9" fillId="6" borderId="10" xfId="1" applyNumberFormat="1" applyFont="1" applyFill="1" applyBorder="1" applyAlignment="1">
      <alignment horizontal="center" vertical="center" wrapText="1"/>
    </xf>
    <xf numFmtId="4" fontId="9" fillId="5" borderId="10" xfId="1" applyNumberFormat="1" applyFont="1" applyFill="1" applyBorder="1" applyAlignment="1">
      <alignment horizontal="right" vertical="center" wrapText="1"/>
    </xf>
    <xf numFmtId="4" fontId="2" fillId="7" borderId="5" xfId="0" applyNumberFormat="1" applyFont="1" applyFill="1" applyBorder="1" applyAlignment="1">
      <alignment vertical="center" wrapText="1"/>
    </xf>
    <xf numFmtId="4" fontId="2" fillId="7" borderId="5" xfId="0" applyNumberFormat="1" applyFont="1" applyFill="1" applyBorder="1" applyAlignment="1">
      <alignment vertical="center"/>
    </xf>
    <xf numFmtId="4" fontId="2" fillId="7" borderId="0" xfId="0" applyNumberFormat="1" applyFont="1" applyFill="1" applyBorder="1" applyAlignment="1">
      <alignment vertical="center"/>
    </xf>
    <xf numFmtId="4" fontId="8" fillId="0" borderId="5" xfId="0" applyNumberFormat="1" applyFont="1" applyFill="1" applyBorder="1" applyAlignment="1">
      <alignment vertical="center" wrapText="1"/>
    </xf>
    <xf numFmtId="165" fontId="2" fillId="0" borderId="5" xfId="0" applyNumberFormat="1" applyFont="1" applyFill="1" applyBorder="1" applyAlignment="1">
      <alignment vertical="center"/>
    </xf>
    <xf numFmtId="1" fontId="9" fillId="0" borderId="5" xfId="0" applyNumberFormat="1" applyFont="1" applyFill="1" applyBorder="1" applyAlignment="1">
      <alignment horizontal="center" vertical="center" wrapText="1"/>
    </xf>
    <xf numFmtId="1" fontId="2" fillId="0" borderId="10" xfId="0" applyNumberFormat="1" applyFont="1" applyFill="1" applyBorder="1" applyAlignment="1">
      <alignment horizontal="center" vertical="center" wrapText="1"/>
    </xf>
    <xf numFmtId="1" fontId="9" fillId="0" borderId="5" xfId="0" applyNumberFormat="1" applyFont="1" applyFill="1" applyBorder="1" applyAlignment="1">
      <alignment vertical="center" wrapText="1"/>
    </xf>
    <xf numFmtId="4" fontId="2" fillId="0" borderId="5" xfId="0" applyNumberFormat="1" applyFont="1" applyFill="1" applyBorder="1" applyAlignment="1">
      <alignment horizontal="left" vertical="center" wrapText="1"/>
    </xf>
    <xf numFmtId="4" fontId="11" fillId="0" borderId="5" xfId="0" applyNumberFormat="1" applyFont="1" applyFill="1" applyBorder="1" applyAlignment="1">
      <alignment vertical="center" wrapText="1"/>
    </xf>
    <xf numFmtId="4" fontId="7" fillId="0" borderId="5" xfId="0" applyNumberFormat="1" applyFont="1" applyFill="1" applyBorder="1" applyAlignment="1">
      <alignment vertical="center" wrapText="1"/>
    </xf>
    <xf numFmtId="165" fontId="2" fillId="0" borderId="5" xfId="1" applyNumberFormat="1" applyFont="1" applyFill="1" applyBorder="1" applyAlignment="1">
      <alignment vertical="center" wrapText="1"/>
    </xf>
    <xf numFmtId="4" fontId="9" fillId="6" borderId="5" xfId="1" applyNumberFormat="1" applyFont="1" applyFill="1" applyBorder="1" applyAlignment="1">
      <alignment horizontal="center" vertical="center" wrapText="1"/>
    </xf>
    <xf numFmtId="4" fontId="2" fillId="0" borderId="10" xfId="0" applyNumberFormat="1" applyFont="1" applyFill="1" applyBorder="1" applyAlignment="1">
      <alignment horizontal="center" vertical="center" wrapText="1"/>
    </xf>
    <xf numFmtId="165" fontId="2" fillId="0" borderId="10" xfId="0" applyNumberFormat="1" applyFont="1" applyFill="1" applyBorder="1" applyAlignment="1">
      <alignment vertical="center" wrapText="1"/>
    </xf>
    <xf numFmtId="4" fontId="2" fillId="0" borderId="10" xfId="0" applyNumberFormat="1" applyFont="1" applyFill="1" applyBorder="1" applyAlignment="1">
      <alignment vertical="center"/>
    </xf>
    <xf numFmtId="4" fontId="2" fillId="7" borderId="10" xfId="1" applyNumberFormat="1" applyFont="1" applyFill="1" applyBorder="1" applyAlignment="1">
      <alignment horizontal="right" vertical="center" wrapText="1"/>
    </xf>
    <xf numFmtId="4" fontId="2" fillId="7" borderId="10" xfId="0" applyNumberFormat="1" applyFont="1" applyFill="1" applyBorder="1" applyAlignment="1">
      <alignment vertical="center" wrapText="1"/>
    </xf>
    <xf numFmtId="4" fontId="2" fillId="7" borderId="10" xfId="0" applyNumberFormat="1" applyFont="1" applyFill="1" applyBorder="1" applyAlignment="1">
      <alignment vertical="center"/>
    </xf>
    <xf numFmtId="4" fontId="12" fillId="6" borderId="10" xfId="1" applyNumberFormat="1" applyFont="1" applyFill="1" applyBorder="1" applyAlignment="1">
      <alignment horizontal="center" vertical="center" wrapText="1"/>
    </xf>
    <xf numFmtId="4" fontId="13" fillId="0" borderId="5" xfId="1" applyNumberFormat="1" applyFont="1" applyFill="1" applyBorder="1" applyAlignment="1">
      <alignment horizontal="right" vertical="center" wrapText="1"/>
    </xf>
    <xf numFmtId="4" fontId="13" fillId="0" borderId="10" xfId="1" applyNumberFormat="1" applyFont="1" applyFill="1" applyBorder="1" applyAlignment="1">
      <alignment horizontal="right" vertical="center" wrapText="1"/>
    </xf>
    <xf numFmtId="1" fontId="9" fillId="0" borderId="13" xfId="0" applyNumberFormat="1" applyFont="1" applyFill="1" applyBorder="1" applyAlignment="1">
      <alignment horizontal="center" vertical="center" wrapText="1"/>
    </xf>
    <xf numFmtId="4" fontId="2" fillId="0" borderId="13" xfId="0" applyNumberFormat="1" applyFont="1" applyFill="1" applyBorder="1" applyAlignment="1">
      <alignment horizontal="left" vertical="center" wrapText="1"/>
    </xf>
    <xf numFmtId="1" fontId="9" fillId="0" borderId="14" xfId="0" applyNumberFormat="1" applyFont="1" applyFill="1" applyBorder="1" applyAlignment="1">
      <alignment horizontal="center" vertical="center" wrapText="1"/>
    </xf>
    <xf numFmtId="4" fontId="2" fillId="0" borderId="14" xfId="0" applyNumberFormat="1" applyFont="1" applyFill="1" applyBorder="1" applyAlignment="1">
      <alignment horizontal="left" vertical="center" wrapText="1"/>
    </xf>
    <xf numFmtId="4" fontId="8"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wrapText="1"/>
    </xf>
    <xf numFmtId="1" fontId="9" fillId="0" borderId="13" xfId="0" applyNumberFormat="1" applyFont="1" applyFill="1" applyBorder="1" applyAlignment="1">
      <alignment vertical="center" wrapText="1"/>
    </xf>
    <xf numFmtId="1" fontId="2" fillId="0" borderId="13" xfId="0" applyNumberFormat="1" applyFont="1" applyFill="1" applyBorder="1" applyAlignment="1">
      <alignment horizontal="center" vertical="center" wrapText="1"/>
    </xf>
    <xf numFmtId="4" fontId="7" fillId="0" borderId="14" xfId="0" applyNumberFormat="1" applyFont="1" applyFill="1" applyBorder="1" applyAlignment="1">
      <alignment vertical="center" wrapText="1"/>
    </xf>
    <xf numFmtId="4" fontId="2" fillId="0" borderId="14" xfId="0" applyNumberFormat="1" applyFont="1" applyFill="1" applyBorder="1" applyAlignment="1">
      <alignment vertical="center" wrapText="1"/>
    </xf>
    <xf numFmtId="4" fontId="2" fillId="0" borderId="13" xfId="1" applyNumberFormat="1" applyFont="1" applyFill="1" applyBorder="1" applyAlignment="1">
      <alignment vertical="center" wrapText="1"/>
    </xf>
    <xf numFmtId="4" fontId="2" fillId="0" borderId="13" xfId="0" applyNumberFormat="1" applyFont="1" applyFill="1" applyBorder="1" applyAlignment="1">
      <alignment vertical="center" wrapText="1"/>
    </xf>
    <xf numFmtId="165" fontId="2" fillId="0" borderId="13" xfId="0" applyNumberFormat="1" applyFont="1" applyFill="1" applyBorder="1" applyAlignment="1">
      <alignment vertical="center" wrapText="1"/>
    </xf>
    <xf numFmtId="4" fontId="2" fillId="0" borderId="13" xfId="0" applyNumberFormat="1" applyFont="1" applyFill="1" applyBorder="1" applyAlignment="1">
      <alignment vertical="center"/>
    </xf>
    <xf numFmtId="4" fontId="2" fillId="0" borderId="14" xfId="1" applyNumberFormat="1" applyFont="1" applyFill="1" applyBorder="1" applyAlignment="1">
      <alignment vertical="center" wrapText="1"/>
    </xf>
    <xf numFmtId="165" fontId="2" fillId="0" borderId="14" xfId="1" applyNumberFormat="1" applyFont="1" applyFill="1" applyBorder="1" applyAlignment="1">
      <alignment vertical="center" wrapText="1"/>
    </xf>
    <xf numFmtId="4" fontId="2" fillId="0" borderId="13" xfId="1" applyNumberFormat="1" applyFont="1" applyFill="1" applyBorder="1" applyAlignment="1">
      <alignment horizontal="right" vertical="center" wrapText="1"/>
    </xf>
    <xf numFmtId="4" fontId="9" fillId="0" borderId="13" xfId="1" applyNumberFormat="1" applyFont="1" applyFill="1" applyBorder="1" applyAlignment="1">
      <alignment horizontal="right" vertical="center" wrapText="1"/>
    </xf>
    <xf numFmtId="4" fontId="9" fillId="0" borderId="15" xfId="1" applyNumberFormat="1" applyFont="1" applyFill="1" applyBorder="1" applyAlignment="1">
      <alignment vertical="center" wrapText="1"/>
    </xf>
    <xf numFmtId="4" fontId="9" fillId="0" borderId="13" xfId="1" applyNumberFormat="1" applyFont="1" applyFill="1" applyBorder="1" applyAlignment="1">
      <alignment vertical="center" wrapText="1"/>
    </xf>
    <xf numFmtId="4" fontId="2" fillId="0" borderId="14" xfId="1" applyNumberFormat="1" applyFont="1" applyFill="1" applyBorder="1" applyAlignment="1">
      <alignment horizontal="right" vertical="center" wrapText="1"/>
    </xf>
    <xf numFmtId="4" fontId="9" fillId="0" borderId="14" xfId="1" applyNumberFormat="1" applyFont="1" applyFill="1" applyBorder="1" applyAlignment="1">
      <alignment horizontal="right" vertical="center" wrapText="1"/>
    </xf>
    <xf numFmtId="4" fontId="9" fillId="6" borderId="14" xfId="1" applyNumberFormat="1" applyFont="1" applyFill="1" applyBorder="1" applyAlignment="1">
      <alignment horizontal="center" vertical="center" wrapText="1"/>
    </xf>
    <xf numFmtId="4" fontId="9" fillId="5" borderId="14" xfId="1" applyNumberFormat="1" applyFont="1" applyFill="1" applyBorder="1" applyAlignment="1">
      <alignment horizontal="right" vertical="center" wrapText="1"/>
    </xf>
    <xf numFmtId="4" fontId="2" fillId="0" borderId="5" xfId="0" applyNumberFormat="1" applyFont="1" applyFill="1" applyBorder="1" applyAlignment="1">
      <alignment horizontal="center" vertical="center"/>
    </xf>
    <xf numFmtId="1" fontId="2" fillId="0" borderId="5" xfId="0" applyNumberFormat="1" applyFont="1" applyFill="1" applyBorder="1" applyAlignment="1">
      <alignment vertical="center"/>
    </xf>
    <xf numFmtId="1" fontId="2" fillId="0" borderId="5" xfId="0" applyNumberFormat="1" applyFont="1" applyFill="1" applyBorder="1" applyAlignment="1">
      <alignment horizontal="center" vertical="center"/>
    </xf>
    <xf numFmtId="4" fontId="2" fillId="0" borderId="5" xfId="0" applyNumberFormat="1" applyFont="1" applyFill="1" applyBorder="1" applyAlignment="1">
      <alignment horizontal="justify" vertical="center" wrapText="1"/>
    </xf>
    <xf numFmtId="4" fontId="2" fillId="0" borderId="5" xfId="0" applyNumberFormat="1" applyFont="1" applyFill="1" applyBorder="1" applyAlignment="1">
      <alignment horizontal="left" vertical="center"/>
    </xf>
    <xf numFmtId="4" fontId="9" fillId="0" borderId="5" xfId="0" applyNumberFormat="1" applyFont="1" applyFill="1" applyBorder="1" applyAlignment="1">
      <alignment vertical="center"/>
    </xf>
    <xf numFmtId="4" fontId="9" fillId="0" borderId="5" xfId="0" applyNumberFormat="1" applyFont="1" applyFill="1" applyBorder="1" applyAlignment="1">
      <alignment horizontal="right" vertical="center"/>
    </xf>
    <xf numFmtId="4" fontId="2" fillId="0" borderId="5" xfId="0" applyNumberFormat="1" applyFont="1" applyFill="1" applyBorder="1" applyAlignment="1">
      <alignment horizontal="right" vertical="center"/>
    </xf>
    <xf numFmtId="4" fontId="9" fillId="5" borderId="5" xfId="1" applyNumberFormat="1" applyFont="1" applyFill="1" applyBorder="1" applyAlignment="1">
      <alignment horizontal="right" vertical="center" wrapText="1"/>
    </xf>
    <xf numFmtId="4" fontId="9" fillId="7" borderId="10" xfId="1" applyNumberFormat="1" applyFont="1" applyFill="1" applyBorder="1" applyAlignment="1">
      <alignment horizontal="right" vertical="center" wrapText="1"/>
    </xf>
    <xf numFmtId="4" fontId="2" fillId="7" borderId="5" xfId="1" applyNumberFormat="1" applyFont="1" applyFill="1" applyBorder="1" applyAlignment="1">
      <alignment horizontal="right" vertical="center" wrapText="1"/>
    </xf>
    <xf numFmtId="1" fontId="2" fillId="0" borderId="10" xfId="0" applyNumberFormat="1" applyFont="1" applyFill="1" applyBorder="1" applyAlignment="1">
      <alignment horizontal="center" vertical="center"/>
    </xf>
    <xf numFmtId="4" fontId="8" fillId="0" borderId="5" xfId="0" applyNumberFormat="1" applyFont="1" applyFill="1" applyBorder="1" applyAlignment="1">
      <alignment horizontal="left" vertical="center" wrapText="1"/>
    </xf>
    <xf numFmtId="4" fontId="8" fillId="0" borderId="11" xfId="0" applyNumberFormat="1" applyFont="1" applyFill="1" applyBorder="1" applyAlignment="1">
      <alignment vertical="center" wrapText="1"/>
    </xf>
    <xf numFmtId="1" fontId="2" fillId="0" borderId="13" xfId="0" applyNumberFormat="1" applyFont="1" applyFill="1" applyBorder="1" applyAlignment="1">
      <alignment horizontal="center" vertical="center"/>
    </xf>
    <xf numFmtId="1" fontId="2" fillId="0" borderId="14" xfId="0" applyNumberFormat="1" applyFont="1" applyFill="1" applyBorder="1" applyAlignment="1">
      <alignment horizontal="center" vertical="center"/>
    </xf>
    <xf numFmtId="3" fontId="2" fillId="0" borderId="10" xfId="0" applyNumberFormat="1" applyFont="1" applyFill="1" applyBorder="1" applyAlignment="1">
      <alignment horizontal="center" vertical="center"/>
    </xf>
    <xf numFmtId="4" fontId="2" fillId="0" borderId="10"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4" fontId="2" fillId="0" borderId="12" xfId="1" applyNumberFormat="1" applyFont="1" applyFill="1" applyBorder="1" applyAlignment="1">
      <alignment vertical="center" wrapText="1"/>
    </xf>
    <xf numFmtId="4" fontId="2" fillId="6" borderId="10" xfId="1" applyNumberFormat="1" applyFont="1" applyFill="1" applyBorder="1" applyAlignment="1">
      <alignment horizontal="center" vertical="center" wrapText="1"/>
    </xf>
    <xf numFmtId="4" fontId="2" fillId="5" borderId="10" xfId="1" applyNumberFormat="1" applyFont="1" applyFill="1" applyBorder="1" applyAlignment="1">
      <alignment horizontal="right" vertical="center" wrapText="1"/>
    </xf>
    <xf numFmtId="4" fontId="2" fillId="0" borderId="13" xfId="0" applyNumberFormat="1" applyFont="1" applyFill="1" applyBorder="1" applyAlignment="1">
      <alignment horizontal="center" vertical="center"/>
    </xf>
    <xf numFmtId="1" fontId="2" fillId="0" borderId="13" xfId="0" applyNumberFormat="1" applyFont="1" applyFill="1" applyBorder="1" applyAlignment="1">
      <alignment vertical="center"/>
    </xf>
    <xf numFmtId="1" fontId="2" fillId="0" borderId="13" xfId="0" applyNumberFormat="1" applyFont="1" applyFill="1" applyBorder="1" applyAlignment="1">
      <alignment horizontal="left" vertical="center"/>
    </xf>
    <xf numFmtId="1" fontId="2" fillId="0" borderId="14" xfId="0" applyNumberFormat="1" applyFont="1" applyFill="1" applyBorder="1" applyAlignment="1">
      <alignment horizontal="left" vertical="center"/>
    </xf>
    <xf numFmtId="1" fontId="2" fillId="0" borderId="10" xfId="0" applyNumberFormat="1" applyFont="1" applyFill="1" applyBorder="1" applyAlignment="1">
      <alignment horizontal="left" vertical="center"/>
    </xf>
    <xf numFmtId="3" fontId="2" fillId="0" borderId="13" xfId="0" applyNumberFormat="1" applyFont="1" applyFill="1" applyBorder="1" applyAlignment="1">
      <alignment horizontal="center" vertical="center"/>
    </xf>
    <xf numFmtId="4" fontId="2" fillId="7" borderId="10" xfId="1" applyNumberFormat="1" applyFont="1" applyFill="1" applyBorder="1" applyAlignment="1">
      <alignment horizontal="center" vertical="center" wrapText="1"/>
    </xf>
    <xf numFmtId="1" fontId="2" fillId="0" borderId="5" xfId="0" applyNumberFormat="1" applyFont="1" applyFill="1" applyBorder="1" applyAlignment="1">
      <alignment vertical="center" wrapText="1"/>
    </xf>
    <xf numFmtId="4" fontId="9" fillId="0" borderId="5" xfId="0" applyNumberFormat="1" applyFont="1" applyFill="1" applyBorder="1" applyAlignment="1">
      <alignment horizontal="left" vertical="center"/>
    </xf>
    <xf numFmtId="43" fontId="2" fillId="0" borderId="5" xfId="1" applyFont="1" applyFill="1" applyBorder="1" applyAlignment="1">
      <alignment vertical="center" wrapText="1"/>
    </xf>
    <xf numFmtId="43" fontId="9" fillId="0" borderId="5" xfId="1" applyFont="1" applyFill="1" applyBorder="1" applyAlignment="1">
      <alignment vertical="center" wrapText="1"/>
    </xf>
    <xf numFmtId="0" fontId="2" fillId="0" borderId="5" xfId="0" applyNumberFormat="1" applyFont="1" applyFill="1" applyBorder="1" applyAlignment="1">
      <alignment vertical="center" wrapText="1"/>
    </xf>
    <xf numFmtId="4" fontId="9" fillId="0" borderId="13" xfId="0" applyNumberFormat="1" applyFont="1" applyFill="1" applyBorder="1" applyAlignment="1">
      <alignment horizontal="left" vertical="center" wrapText="1"/>
    </xf>
    <xf numFmtId="166" fontId="2" fillId="0" borderId="5" xfId="0" applyNumberFormat="1" applyFont="1" applyFill="1" applyBorder="1" applyAlignment="1">
      <alignment horizontal="center" vertical="center" wrapText="1"/>
    </xf>
    <xf numFmtId="165" fontId="2" fillId="6" borderId="10" xfId="1" applyNumberFormat="1" applyFont="1" applyFill="1" applyBorder="1" applyAlignment="1">
      <alignment horizontal="center" vertical="center" wrapText="1"/>
    </xf>
    <xf numFmtId="1" fontId="2" fillId="0" borderId="10" xfId="0" applyNumberFormat="1" applyFont="1" applyFill="1" applyBorder="1" applyAlignment="1">
      <alignment vertical="center"/>
    </xf>
    <xf numFmtId="165" fontId="2" fillId="0" borderId="5" xfId="0" applyNumberFormat="1" applyFont="1" applyFill="1" applyBorder="1" applyAlignment="1">
      <alignment horizontal="left" vertical="center" wrapText="1"/>
    </xf>
    <xf numFmtId="1" fontId="2" fillId="0" borderId="0" xfId="0" applyNumberFormat="1" applyFont="1" applyFill="1" applyBorder="1" applyAlignment="1">
      <alignment horizontal="center" vertical="center"/>
    </xf>
    <xf numFmtId="4" fontId="2" fillId="0" borderId="16" xfId="0" applyNumberFormat="1" applyFont="1" applyFill="1" applyBorder="1" applyAlignment="1">
      <alignment horizontal="left" vertical="center" wrapText="1"/>
    </xf>
    <xf numFmtId="4" fontId="11" fillId="0" borderId="11" xfId="0" applyNumberFormat="1" applyFont="1" applyFill="1" applyBorder="1" applyAlignment="1">
      <alignment horizontal="center" vertical="center" wrapText="1"/>
    </xf>
    <xf numFmtId="4" fontId="7" fillId="0" borderId="10" xfId="0" applyNumberFormat="1" applyFont="1" applyFill="1" applyBorder="1" applyAlignment="1">
      <alignment horizontal="center" vertical="center" wrapText="1"/>
    </xf>
    <xf numFmtId="4" fontId="8" fillId="0" borderId="5" xfId="0" applyNumberFormat="1" applyFont="1" applyFill="1" applyBorder="1" applyAlignment="1">
      <alignment horizontal="center" vertical="center" wrapText="1"/>
    </xf>
    <xf numFmtId="4" fontId="2" fillId="0" borderId="11" xfId="0" applyNumberFormat="1" applyFont="1" applyFill="1" applyBorder="1" applyAlignment="1">
      <alignment horizontal="left" vertical="center" wrapText="1"/>
    </xf>
    <xf numFmtId="4" fontId="2" fillId="0" borderId="11" xfId="0" applyNumberFormat="1" applyFont="1" applyFill="1" applyBorder="1" applyAlignment="1">
      <alignment horizontal="center" vertical="center" wrapText="1"/>
    </xf>
    <xf numFmtId="3" fontId="9" fillId="0" borderId="10" xfId="0" applyNumberFormat="1" applyFont="1" applyFill="1" applyBorder="1" applyAlignment="1">
      <alignment horizontal="center" vertical="center"/>
    </xf>
    <xf numFmtId="4" fontId="8" fillId="0" borderId="11" xfId="0" applyNumberFormat="1" applyFont="1" applyFill="1" applyBorder="1" applyAlignment="1">
      <alignment horizontal="left" vertical="center" wrapText="1"/>
    </xf>
    <xf numFmtId="4" fontId="7" fillId="0" borderId="10" xfId="0" applyNumberFormat="1" applyFont="1" applyFill="1" applyBorder="1" applyAlignment="1">
      <alignment horizontal="left" vertical="center" wrapText="1"/>
    </xf>
    <xf numFmtId="165" fontId="2" fillId="0" borderId="5" xfId="0" applyNumberFormat="1" applyFont="1" applyFill="1" applyBorder="1" applyAlignment="1">
      <alignment horizontal="left" vertical="center"/>
    </xf>
    <xf numFmtId="4" fontId="2" fillId="0" borderId="5" xfId="1" applyNumberFormat="1" applyFont="1" applyFill="1" applyBorder="1" applyAlignment="1">
      <alignment horizontal="left" vertical="center" wrapText="1"/>
    </xf>
    <xf numFmtId="4" fontId="2" fillId="0" borderId="12" xfId="1" applyNumberFormat="1" applyFont="1" applyFill="1" applyBorder="1" applyAlignment="1">
      <alignment horizontal="left" vertical="center" wrapText="1"/>
    </xf>
    <xf numFmtId="4" fontId="11" fillId="0" borderId="11" xfId="0" applyNumberFormat="1" applyFont="1" applyFill="1" applyBorder="1" applyAlignment="1">
      <alignment horizontal="left" vertical="center" wrapText="1"/>
    </xf>
    <xf numFmtId="1" fontId="2" fillId="0" borderId="5" xfId="0" applyNumberFormat="1" applyFont="1" applyFill="1" applyBorder="1" applyAlignment="1">
      <alignment horizontal="left" vertical="center"/>
    </xf>
    <xf numFmtId="4" fontId="2" fillId="0" borderId="13" xfId="0" applyNumberFormat="1" applyFont="1" applyFill="1" applyBorder="1" applyAlignment="1">
      <alignment horizontal="left" vertical="center"/>
    </xf>
    <xf numFmtId="4" fontId="2" fillId="0" borderId="10" xfId="0" applyNumberFormat="1" applyFont="1" applyFill="1" applyBorder="1" applyAlignment="1">
      <alignment horizontal="left" vertical="center"/>
    </xf>
    <xf numFmtId="1" fontId="9" fillId="0" borderId="5" xfId="0" applyNumberFormat="1" applyFont="1" applyFill="1" applyBorder="1" applyAlignment="1">
      <alignment horizontal="center" vertical="center"/>
    </xf>
    <xf numFmtId="4" fontId="2" fillId="0" borderId="5" xfId="1" applyNumberFormat="1" applyFont="1" applyFill="1" applyBorder="1" applyAlignment="1">
      <alignment vertical="center"/>
    </xf>
    <xf numFmtId="4" fontId="2" fillId="0" borderId="12" xfId="1" applyNumberFormat="1" applyFont="1" applyFill="1" applyBorder="1" applyAlignment="1">
      <alignment horizontal="right" vertical="center" wrapText="1"/>
    </xf>
    <xf numFmtId="4" fontId="7" fillId="0" borderId="5" xfId="0" applyNumberFormat="1" applyFont="1" applyFill="1" applyBorder="1" applyAlignment="1">
      <alignment horizontal="left" vertical="center" wrapText="1"/>
    </xf>
    <xf numFmtId="4" fontId="9" fillId="0" borderId="5" xfId="0" applyNumberFormat="1" applyFont="1" applyFill="1" applyBorder="1" applyAlignment="1">
      <alignment vertical="center" wrapText="1"/>
    </xf>
    <xf numFmtId="4" fontId="9" fillId="0" borderId="5" xfId="0" applyNumberFormat="1" applyFont="1" applyFill="1" applyBorder="1" applyAlignment="1">
      <alignment horizontal="left" vertical="center" wrapText="1"/>
    </xf>
    <xf numFmtId="165" fontId="9" fillId="0" borderId="5" xfId="0" applyNumberFormat="1" applyFont="1" applyFill="1" applyBorder="1" applyAlignment="1">
      <alignment vertical="center" wrapText="1"/>
    </xf>
    <xf numFmtId="4" fontId="2" fillId="8" borderId="10" xfId="1" applyNumberFormat="1" applyFont="1" applyFill="1" applyBorder="1" applyAlignment="1">
      <alignment horizontal="right" vertical="center" wrapText="1"/>
    </xf>
    <xf numFmtId="2" fontId="2" fillId="0" borderId="5" xfId="0" applyNumberFormat="1" applyFont="1" applyFill="1" applyBorder="1" applyAlignment="1">
      <alignment horizontal="center" vertical="center" wrapText="1"/>
    </xf>
    <xf numFmtId="0" fontId="9" fillId="0" borderId="5" xfId="0" applyNumberFormat="1" applyFont="1" applyFill="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10" xfId="0" applyNumberFormat="1" applyFont="1" applyFill="1" applyBorder="1" applyAlignment="1">
      <alignment horizontal="left" vertical="center" wrapText="1"/>
    </xf>
    <xf numFmtId="0" fontId="11" fillId="0" borderId="11" xfId="0" applyNumberFormat="1" applyFont="1" applyFill="1" applyBorder="1" applyAlignment="1">
      <alignment vertical="center" wrapText="1"/>
    </xf>
    <xf numFmtId="0" fontId="7" fillId="0" borderId="10" xfId="0" applyNumberFormat="1" applyFont="1" applyFill="1" applyBorder="1" applyAlignment="1">
      <alignment vertical="center" wrapText="1"/>
    </xf>
    <xf numFmtId="0" fontId="8" fillId="0" borderId="5"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xf>
    <xf numFmtId="14" fontId="2" fillId="0" borderId="5" xfId="0" applyNumberFormat="1" applyFont="1" applyFill="1" applyBorder="1" applyAlignment="1">
      <alignment vertical="center" wrapText="1"/>
    </xf>
    <xf numFmtId="0" fontId="2" fillId="0" borderId="10" xfId="0" applyNumberFormat="1" applyFont="1" applyFill="1" applyBorder="1" applyAlignment="1">
      <alignment vertical="center" wrapText="1"/>
    </xf>
    <xf numFmtId="43" fontId="2" fillId="0" borderId="10" xfId="1" applyFont="1" applyFill="1" applyBorder="1" applyAlignment="1">
      <alignment vertical="center" wrapText="1"/>
    </xf>
    <xf numFmtId="43" fontId="9" fillId="0" borderId="10" xfId="1" applyFont="1" applyFill="1" applyBorder="1" applyAlignment="1">
      <alignment vertical="center" wrapText="1"/>
    </xf>
    <xf numFmtId="14" fontId="2" fillId="0" borderId="10" xfId="1" applyNumberFormat="1" applyFont="1" applyFill="1" applyBorder="1" applyAlignment="1">
      <alignment vertical="center" wrapText="1"/>
    </xf>
    <xf numFmtId="4" fontId="14" fillId="0" borderId="10" xfId="1" applyNumberFormat="1" applyFont="1" applyFill="1" applyBorder="1" applyAlignment="1">
      <alignment horizontal="right" vertical="center" wrapText="1"/>
    </xf>
    <xf numFmtId="4" fontId="14" fillId="6" borderId="10" xfId="1" applyNumberFormat="1" applyFont="1" applyFill="1" applyBorder="1" applyAlignment="1">
      <alignment horizontal="center" vertical="center" wrapText="1"/>
    </xf>
    <xf numFmtId="4" fontId="14" fillId="0" borderId="5" xfId="1" applyNumberFormat="1" applyFont="1" applyFill="1" applyBorder="1" applyAlignment="1">
      <alignment horizontal="right" vertical="center" wrapText="1"/>
    </xf>
    <xf numFmtId="4" fontId="14" fillId="0" borderId="5" xfId="0" applyNumberFormat="1" applyFont="1" applyFill="1" applyBorder="1" applyAlignment="1">
      <alignment vertical="center"/>
    </xf>
    <xf numFmtId="4" fontId="14" fillId="0" borderId="5" xfId="0" applyNumberFormat="1" applyFont="1" applyFill="1" applyBorder="1" applyAlignment="1">
      <alignment vertical="center" wrapText="1"/>
    </xf>
    <xf numFmtId="4" fontId="14" fillId="0" borderId="0" xfId="0" applyNumberFormat="1" applyFont="1" applyFill="1" applyBorder="1" applyAlignment="1">
      <alignment vertical="center"/>
    </xf>
    <xf numFmtId="4" fontId="7" fillId="0" borderId="5" xfId="0" applyNumberFormat="1" applyFont="1" applyFill="1" applyBorder="1" applyAlignment="1">
      <alignment horizontal="center" vertical="center" wrapText="1"/>
    </xf>
    <xf numFmtId="3" fontId="15" fillId="9" borderId="5" xfId="0" applyNumberFormat="1" applyFont="1" applyFill="1" applyBorder="1" applyAlignment="1">
      <alignment horizontal="center" vertical="center" wrapText="1"/>
    </xf>
    <xf numFmtId="1" fontId="15" fillId="0" borderId="5" xfId="0" applyNumberFormat="1" applyFont="1" applyFill="1" applyBorder="1" applyAlignment="1">
      <alignment horizontal="center" vertical="center" wrapText="1"/>
    </xf>
    <xf numFmtId="4" fontId="9" fillId="9" borderId="5" xfId="0" applyNumberFormat="1" applyFont="1" applyFill="1" applyBorder="1" applyAlignment="1">
      <alignment horizontal="left" vertical="center" wrapText="1"/>
    </xf>
    <xf numFmtId="4" fontId="15" fillId="9" borderId="5" xfId="0" applyNumberFormat="1" applyFont="1" applyFill="1" applyBorder="1" applyAlignment="1">
      <alignment vertical="center" wrapText="1"/>
    </xf>
    <xf numFmtId="1" fontId="15" fillId="9" borderId="5" xfId="0" applyNumberFormat="1" applyFont="1" applyFill="1" applyBorder="1" applyAlignment="1">
      <alignment horizontal="center" vertical="center" wrapText="1"/>
    </xf>
    <xf numFmtId="4" fontId="9" fillId="9" borderId="5" xfId="1" applyNumberFormat="1" applyFont="1" applyFill="1" applyBorder="1" applyAlignment="1">
      <alignment vertical="center" wrapText="1"/>
    </xf>
    <xf numFmtId="165" fontId="9" fillId="9" borderId="5" xfId="1" applyNumberFormat="1" applyFont="1" applyFill="1" applyBorder="1" applyAlignment="1">
      <alignment vertical="center" wrapText="1"/>
    </xf>
    <xf numFmtId="4" fontId="9" fillId="2" borderId="5" xfId="1" applyNumberFormat="1" applyFont="1" applyFill="1" applyBorder="1" applyAlignment="1">
      <alignment vertical="center" wrapText="1"/>
    </xf>
    <xf numFmtId="165" fontId="9" fillId="4" borderId="5" xfId="1" applyNumberFormat="1" applyFont="1" applyFill="1" applyBorder="1" applyAlignment="1">
      <alignment vertical="center" wrapText="1"/>
    </xf>
    <xf numFmtId="4" fontId="9" fillId="9" borderId="5" xfId="1" applyNumberFormat="1" applyFont="1" applyFill="1" applyBorder="1" applyAlignment="1">
      <alignment horizontal="right" vertical="center" wrapText="1"/>
    </xf>
    <xf numFmtId="4" fontId="9" fillId="9" borderId="5" xfId="1" applyNumberFormat="1" applyFont="1" applyFill="1" applyBorder="1" applyAlignment="1">
      <alignment horizontal="center" vertical="center" wrapText="1"/>
    </xf>
    <xf numFmtId="4" fontId="16" fillId="0" borderId="5" xfId="0" applyNumberFormat="1" applyFont="1" applyFill="1" applyBorder="1" applyAlignment="1">
      <alignment vertical="center" wrapText="1"/>
    </xf>
    <xf numFmtId="4" fontId="16" fillId="0" borderId="0" xfId="0" applyNumberFormat="1" applyFont="1" applyFill="1" applyBorder="1" applyAlignment="1">
      <alignment vertical="center"/>
    </xf>
    <xf numFmtId="3" fontId="2" fillId="0" borderId="0" xfId="0" applyNumberFormat="1" applyFont="1" applyFill="1" applyAlignment="1">
      <alignment horizontal="center" vertical="center"/>
    </xf>
    <xf numFmtId="4" fontId="2" fillId="0" borderId="0" xfId="0" applyNumberFormat="1" applyFont="1" applyFill="1" applyAlignment="1">
      <alignment vertical="center"/>
    </xf>
    <xf numFmtId="4" fontId="7" fillId="0" borderId="0" xfId="0" applyNumberFormat="1" applyFont="1" applyFill="1" applyAlignment="1">
      <alignment vertical="center"/>
    </xf>
    <xf numFmtId="4" fontId="8" fillId="0" borderId="0" xfId="0" applyNumberFormat="1" applyFont="1" applyFill="1" applyAlignment="1">
      <alignment vertical="center"/>
    </xf>
    <xf numFmtId="165" fontId="2" fillId="0" borderId="0" xfId="0" applyNumberFormat="1" applyFont="1" applyFill="1" applyAlignment="1">
      <alignment vertical="center"/>
    </xf>
    <xf numFmtId="4" fontId="2" fillId="2" borderId="0" xfId="0" applyNumberFormat="1" applyFont="1" applyFill="1" applyAlignment="1">
      <alignment vertical="center"/>
    </xf>
    <xf numFmtId="165" fontId="2" fillId="2" borderId="0" xfId="0" applyNumberFormat="1" applyFont="1" applyFill="1" applyAlignment="1">
      <alignment vertical="center"/>
    </xf>
    <xf numFmtId="4" fontId="9" fillId="0" borderId="0" xfId="0" applyNumberFormat="1" applyFont="1" applyFill="1" applyAlignment="1">
      <alignment vertical="center"/>
    </xf>
    <xf numFmtId="4" fontId="2" fillId="0" borderId="0" xfId="0" applyNumberFormat="1" applyFont="1" applyFill="1" applyBorder="1" applyAlignment="1">
      <alignment vertical="center" wrapText="1"/>
    </xf>
    <xf numFmtId="4" fontId="9" fillId="3" borderId="1" xfId="0" applyNumberFormat="1" applyFont="1" applyFill="1" applyBorder="1" applyAlignment="1">
      <alignment vertical="center" wrapText="1"/>
    </xf>
    <xf numFmtId="4" fontId="9" fillId="3" borderId="6" xfId="0" applyNumberFormat="1" applyFont="1" applyFill="1" applyBorder="1" applyAlignment="1">
      <alignment vertical="center" wrapText="1"/>
    </xf>
    <xf numFmtId="4" fontId="0" fillId="3" borderId="6" xfId="0" applyNumberFormat="1" applyFill="1" applyBorder="1" applyAlignment="1">
      <alignment vertical="center"/>
    </xf>
    <xf numFmtId="4" fontId="9" fillId="3" borderId="13" xfId="0" applyNumberFormat="1" applyFont="1" applyFill="1" applyBorder="1" applyAlignment="1">
      <alignment vertical="center" wrapText="1"/>
    </xf>
    <xf numFmtId="4" fontId="9" fillId="3" borderId="10" xfId="0" applyNumberFormat="1" applyFont="1" applyFill="1" applyBorder="1" applyAlignment="1">
      <alignment vertical="center" wrapText="1"/>
    </xf>
    <xf numFmtId="4" fontId="9" fillId="5" borderId="1" xfId="0" applyNumberFormat="1" applyFont="1" applyFill="1" applyBorder="1" applyAlignment="1">
      <alignment vertical="center" wrapText="1"/>
    </xf>
    <xf numFmtId="4" fontId="9" fillId="5" borderId="6" xfId="0" applyNumberFormat="1" applyFont="1" applyFill="1" applyBorder="1" applyAlignment="1">
      <alignment vertical="center" wrapText="1"/>
    </xf>
    <xf numFmtId="3" fontId="9" fillId="3" borderId="1" xfId="0" applyNumberFormat="1" applyFont="1" applyFill="1" applyBorder="1" applyAlignment="1">
      <alignment vertical="center" wrapText="1"/>
    </xf>
    <xf numFmtId="1" fontId="9" fillId="3" borderId="1" xfId="0" applyNumberFormat="1" applyFont="1" applyFill="1" applyBorder="1" applyAlignment="1">
      <alignment vertical="center" wrapText="1"/>
    </xf>
    <xf numFmtId="1" fontId="9" fillId="3" borderId="1" xfId="0" applyNumberFormat="1" applyFont="1" applyFill="1" applyBorder="1" applyAlignment="1">
      <alignment vertical="center" textRotation="255"/>
    </xf>
    <xf numFmtId="4" fontId="9" fillId="3" borderId="2" xfId="0" applyNumberFormat="1" applyFont="1" applyFill="1" applyBorder="1" applyAlignment="1">
      <alignment vertical="center"/>
    </xf>
    <xf numFmtId="4" fontId="9" fillId="3" borderId="4" xfId="0" applyNumberFormat="1" applyFont="1" applyFill="1" applyBorder="1" applyAlignment="1">
      <alignment vertical="center"/>
    </xf>
    <xf numFmtId="4" fontId="9" fillId="3" borderId="3" xfId="0" applyNumberFormat="1" applyFont="1" applyFill="1" applyBorder="1" applyAlignment="1">
      <alignment vertical="center"/>
    </xf>
    <xf numFmtId="4" fontId="9" fillId="4" borderId="1" xfId="0" applyNumberFormat="1" applyFont="1" applyFill="1" applyBorder="1" applyAlignment="1">
      <alignment vertical="center" wrapText="1"/>
    </xf>
    <xf numFmtId="4" fontId="0" fillId="3" borderId="4" xfId="0" applyNumberFormat="1" applyFill="1" applyBorder="1" applyAlignment="1">
      <alignment vertical="center"/>
    </xf>
    <xf numFmtId="4" fontId="9" fillId="3" borderId="1" xfId="0" applyNumberFormat="1" applyFont="1" applyFill="1" applyBorder="1" applyAlignment="1">
      <alignment vertical="center"/>
    </xf>
    <xf numFmtId="3" fontId="9" fillId="3" borderId="6" xfId="0" applyNumberFormat="1" applyFont="1" applyFill="1" applyBorder="1" applyAlignment="1">
      <alignment vertical="center" wrapText="1"/>
    </xf>
    <xf numFmtId="1" fontId="9" fillId="3" borderId="6" xfId="0" applyNumberFormat="1" applyFont="1" applyFill="1" applyBorder="1" applyAlignment="1">
      <alignment vertical="center" wrapText="1"/>
    </xf>
    <xf numFmtId="1" fontId="9" fillId="3" borderId="6" xfId="0" applyNumberFormat="1" applyFont="1" applyFill="1" applyBorder="1" applyAlignment="1">
      <alignment vertical="center" textRotation="255"/>
    </xf>
    <xf numFmtId="4" fontId="9" fillId="4" borderId="6" xfId="0" applyNumberFormat="1" applyFont="1" applyFill="1" applyBorder="1" applyAlignment="1">
      <alignment vertical="center" wrapText="1"/>
    </xf>
    <xf numFmtId="4" fontId="9" fillId="3" borderId="6" xfId="0" applyNumberFormat="1" applyFont="1" applyFill="1" applyBorder="1" applyAlignment="1">
      <alignment vertical="center"/>
    </xf>
    <xf numFmtId="4" fontId="19" fillId="0" borderId="11" xfId="0" applyNumberFormat="1" applyFont="1" applyFill="1" applyBorder="1" applyAlignment="1">
      <alignment vertical="center" wrapText="1"/>
    </xf>
    <xf numFmtId="4" fontId="19" fillId="0" borderId="5" xfId="0" applyNumberFormat="1" applyFont="1" applyFill="1" applyBorder="1" applyAlignment="1">
      <alignment vertical="center" wrapText="1"/>
    </xf>
    <xf numFmtId="4" fontId="19" fillId="0" borderId="10" xfId="0" applyNumberFormat="1" applyFont="1" applyFill="1" applyBorder="1" applyAlignment="1">
      <alignment vertical="center" wrapText="1"/>
    </xf>
    <xf numFmtId="4" fontId="19" fillId="0" borderId="5" xfId="0" applyNumberFormat="1" applyFont="1" applyFill="1" applyBorder="1" applyAlignment="1">
      <alignment horizontal="center" vertical="center" wrapText="1"/>
    </xf>
    <xf numFmtId="4" fontId="19" fillId="0" borderId="5" xfId="1" applyNumberFormat="1" applyFont="1" applyFill="1" applyBorder="1" applyAlignment="1">
      <alignment vertical="center" wrapText="1"/>
    </xf>
    <xf numFmtId="4" fontId="19" fillId="0" borderId="10" xfId="1" applyNumberFormat="1" applyFont="1" applyFill="1" applyBorder="1" applyAlignment="1">
      <alignment horizontal="right" vertical="center" wrapText="1"/>
    </xf>
    <xf numFmtId="4" fontId="19" fillId="5" borderId="10" xfId="1" applyNumberFormat="1" applyFont="1" applyFill="1" applyBorder="1" applyAlignment="1">
      <alignment horizontal="right" vertical="center" wrapText="1"/>
    </xf>
    <xf numFmtId="4" fontId="19" fillId="0" borderId="5" xfId="0" applyNumberFormat="1" applyFont="1" applyFill="1" applyBorder="1" applyAlignment="1">
      <alignment vertical="center"/>
    </xf>
    <xf numFmtId="4" fontId="19" fillId="0" borderId="5" xfId="0" applyNumberFormat="1" applyFont="1" applyFill="1" applyBorder="1" applyAlignment="1">
      <alignment horizontal="center" vertical="center"/>
    </xf>
    <xf numFmtId="4" fontId="19" fillId="0" borderId="5" xfId="0" applyNumberFormat="1" applyFont="1" applyFill="1" applyBorder="1" applyAlignment="1">
      <alignment horizontal="left" vertical="center" wrapText="1"/>
    </xf>
    <xf numFmtId="4" fontId="19" fillId="0" borderId="13" xfId="0" applyNumberFormat="1" applyFont="1" applyFill="1" applyBorder="1" applyAlignment="1">
      <alignment horizontal="left" vertical="center" wrapText="1"/>
    </xf>
    <xf numFmtId="4" fontId="21" fillId="0" borderId="5" xfId="0" applyNumberFormat="1" applyFont="1" applyFill="1" applyBorder="1" applyAlignment="1">
      <alignment horizontal="center" vertical="center" wrapText="1"/>
    </xf>
    <xf numFmtId="4" fontId="20" fillId="9" borderId="5" xfId="0" applyNumberFormat="1" applyFont="1" applyFill="1" applyBorder="1" applyAlignment="1">
      <alignment horizontal="left" vertical="center" wrapText="1"/>
    </xf>
    <xf numFmtId="4" fontId="22" fillId="9" borderId="5" xfId="0" applyNumberFormat="1" applyFont="1" applyFill="1" applyBorder="1" applyAlignment="1">
      <alignment vertical="center" wrapText="1"/>
    </xf>
    <xf numFmtId="4" fontId="23" fillId="9" borderId="5" xfId="0" applyNumberFormat="1" applyFont="1" applyFill="1" applyBorder="1" applyAlignment="1">
      <alignment vertical="center" wrapText="1"/>
    </xf>
    <xf numFmtId="4" fontId="19" fillId="9" borderId="5" xfId="1" applyNumberFormat="1" applyFont="1" applyFill="1" applyBorder="1" applyAlignment="1">
      <alignment vertical="center" wrapText="1"/>
    </xf>
    <xf numFmtId="4" fontId="20" fillId="9" borderId="5" xfId="1" applyNumberFormat="1" applyFont="1" applyFill="1" applyBorder="1" applyAlignment="1">
      <alignment vertical="center" wrapText="1"/>
    </xf>
    <xf numFmtId="4" fontId="3" fillId="0" borderId="0" xfId="0" applyNumberFormat="1" applyFont="1" applyFill="1" applyAlignment="1">
      <alignment horizontal="center" vertical="center" wrapText="1"/>
    </xf>
    <xf numFmtId="4" fontId="4" fillId="0" borderId="0" xfId="0" applyNumberFormat="1" applyFont="1" applyFill="1" applyAlignment="1">
      <alignment horizontal="center" vertical="center" wrapText="1"/>
    </xf>
    <xf numFmtId="4" fontId="5" fillId="0" borderId="0" xfId="0" applyNumberFormat="1" applyFont="1" applyFill="1" applyAlignment="1">
      <alignment horizontal="center" vertical="center" wrapText="1"/>
    </xf>
    <xf numFmtId="4" fontId="6" fillId="0" borderId="0" xfId="0" applyNumberFormat="1" applyFont="1" applyFill="1" applyAlignment="1">
      <alignment horizontal="center" vertical="center" wrapText="1"/>
    </xf>
    <xf numFmtId="4" fontId="2" fillId="0" borderId="13" xfId="0" applyNumberFormat="1" applyFont="1" applyFill="1" applyBorder="1" applyAlignment="1">
      <alignment horizontal="left" vertical="center" wrapText="1"/>
    </xf>
    <xf numFmtId="4" fontId="2" fillId="0" borderId="14" xfId="0" applyNumberFormat="1" applyFont="1" applyFill="1" applyBorder="1" applyAlignment="1">
      <alignment horizontal="left" vertical="center" wrapText="1"/>
    </xf>
    <xf numFmtId="4" fontId="2" fillId="0" borderId="10" xfId="0" applyNumberFormat="1" applyFont="1" applyFill="1" applyBorder="1" applyAlignment="1">
      <alignment horizontal="left" vertical="center" wrapText="1"/>
    </xf>
    <xf numFmtId="4" fontId="2" fillId="0" borderId="13" xfId="0" applyNumberFormat="1" applyFont="1" applyFill="1" applyBorder="1" applyAlignment="1">
      <alignment horizontal="center" vertical="center" wrapText="1"/>
    </xf>
    <xf numFmtId="4" fontId="2" fillId="0" borderId="14" xfId="0" applyNumberFormat="1" applyFont="1" applyFill="1" applyBorder="1" applyAlignment="1">
      <alignment horizontal="center" vertical="center" wrapText="1"/>
    </xf>
    <xf numFmtId="4" fontId="2" fillId="0" borderId="10" xfId="0" applyNumberFormat="1" applyFont="1" applyFill="1" applyBorder="1" applyAlignment="1">
      <alignment horizontal="center" vertical="center" wrapText="1"/>
    </xf>
    <xf numFmtId="4" fontId="2" fillId="0" borderId="13" xfId="0" applyNumberFormat="1" applyFont="1" applyFill="1" applyBorder="1" applyAlignment="1">
      <alignment horizontal="center" vertical="center"/>
    </xf>
    <xf numFmtId="4" fontId="2" fillId="0" borderId="14" xfId="0" applyNumberFormat="1" applyFont="1" applyFill="1" applyBorder="1" applyAlignment="1">
      <alignment horizontal="center" vertical="center"/>
    </xf>
    <xf numFmtId="4" fontId="2" fillId="0" borderId="10" xfId="0" applyNumberFormat="1" applyFont="1" applyFill="1" applyBorder="1" applyAlignment="1">
      <alignment horizontal="center" vertical="center"/>
    </xf>
    <xf numFmtId="1" fontId="2" fillId="0" borderId="13" xfId="0" applyNumberFormat="1" applyFont="1" applyFill="1" applyBorder="1" applyAlignment="1">
      <alignment horizontal="center" vertical="center"/>
    </xf>
    <xf numFmtId="1" fontId="2" fillId="0" borderId="14" xfId="0" applyNumberFormat="1" applyFont="1" applyFill="1" applyBorder="1" applyAlignment="1">
      <alignment horizontal="center" vertical="center"/>
    </xf>
    <xf numFmtId="1" fontId="2" fillId="0" borderId="10" xfId="0" applyNumberFormat="1" applyFont="1" applyFill="1" applyBorder="1" applyAlignment="1">
      <alignment horizontal="center" vertical="center"/>
    </xf>
    <xf numFmtId="1" fontId="9" fillId="0" borderId="13" xfId="0" applyNumberFormat="1" applyFont="1" applyFill="1" applyBorder="1" applyAlignment="1">
      <alignment horizontal="center" vertical="center"/>
    </xf>
    <xf numFmtId="1" fontId="9" fillId="0" borderId="10" xfId="0" applyNumberFormat="1" applyFont="1" applyFill="1" applyBorder="1" applyAlignment="1">
      <alignment horizontal="center" vertical="center"/>
    </xf>
    <xf numFmtId="1" fontId="2" fillId="0" borderId="5" xfId="0" applyNumberFormat="1" applyFont="1" applyFill="1" applyBorder="1" applyAlignment="1">
      <alignment horizontal="center" vertical="center"/>
    </xf>
    <xf numFmtId="165" fontId="2" fillId="0" borderId="13" xfId="0" applyNumberFormat="1" applyFont="1" applyFill="1" applyBorder="1" applyAlignment="1">
      <alignment horizontal="center" vertical="center"/>
    </xf>
    <xf numFmtId="165" fontId="2" fillId="0" borderId="10" xfId="0" applyNumberFormat="1" applyFont="1" applyFill="1" applyBorder="1" applyAlignment="1">
      <alignment horizontal="center" vertical="center"/>
    </xf>
    <xf numFmtId="1" fontId="2" fillId="0" borderId="13" xfId="0" applyNumberFormat="1" applyFont="1" applyFill="1" applyBorder="1" applyAlignment="1">
      <alignment horizontal="center" vertical="center" wrapText="1"/>
    </xf>
    <xf numFmtId="1" fontId="2" fillId="0" borderId="10" xfId="0" applyNumberFormat="1" applyFont="1" applyFill="1" applyBorder="1" applyAlignment="1">
      <alignment horizontal="center" vertical="center" wrapText="1"/>
    </xf>
    <xf numFmtId="4" fontId="8" fillId="0" borderId="13" xfId="0" applyNumberFormat="1" applyFont="1" applyFill="1" applyBorder="1" applyAlignment="1">
      <alignment horizontal="center" vertical="center" wrapText="1"/>
    </xf>
    <xf numFmtId="4" fontId="8" fillId="0" borderId="10" xfId="0" applyNumberFormat="1" applyFont="1" applyFill="1" applyBorder="1" applyAlignment="1">
      <alignment horizontal="center" vertical="center" wrapText="1"/>
    </xf>
    <xf numFmtId="4" fontId="7" fillId="0" borderId="13" xfId="0" applyNumberFormat="1" applyFont="1" applyFill="1" applyBorder="1" applyAlignment="1">
      <alignment horizontal="center" vertical="center" wrapText="1"/>
    </xf>
    <xf numFmtId="4" fontId="7" fillId="0" borderId="10" xfId="0" applyNumberFormat="1" applyFont="1" applyFill="1" applyBorder="1" applyAlignment="1">
      <alignment horizontal="center" vertical="center" wrapText="1"/>
    </xf>
    <xf numFmtId="1" fontId="2" fillId="0" borderId="13" xfId="0" applyNumberFormat="1" applyFont="1" applyFill="1" applyBorder="1" applyAlignment="1">
      <alignment horizontal="left" vertical="center"/>
    </xf>
    <xf numFmtId="1" fontId="2" fillId="0" borderId="10" xfId="0" applyNumberFormat="1" applyFont="1" applyFill="1" applyBorder="1" applyAlignment="1">
      <alignment horizontal="left" vertical="center"/>
    </xf>
    <xf numFmtId="1" fontId="2" fillId="0" borderId="5" xfId="0" applyNumberFormat="1" applyFont="1" applyFill="1" applyBorder="1" applyAlignment="1">
      <alignment horizontal="left" vertical="center"/>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223768</xdr:colOff>
      <xdr:row>4</xdr:row>
      <xdr:rowOff>287151</xdr:rowOff>
    </xdr:to>
    <xdr:pic>
      <xdr:nvPicPr>
        <xdr:cNvPr id="2" name="Picture 2" descr="C:\ISRAEL DGN\ISRAEL TRABAJO\SOP\escudo y logotipos\S. OBRAS PUBLICAS\SECRETARÍA DE OBRAS PUBLICAS-01.jpg"/>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995543" cy="106820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B529"/>
  <sheetViews>
    <sheetView tabSelected="1" topLeftCell="B1" zoomScaleNormal="100" workbookViewId="0">
      <selection activeCell="P109" sqref="P109"/>
    </sheetView>
  </sheetViews>
  <sheetFormatPr baseColWidth="10" defaultColWidth="11.42578125" defaultRowHeight="8.25" x14ac:dyDescent="0.2"/>
  <cols>
    <col min="1" max="1" width="5.42578125" style="202" hidden="1" customWidth="1"/>
    <col min="2" max="2" width="11.140625" style="2" customWidth="1"/>
    <col min="3" max="3" width="11.140625" style="3" hidden="1" customWidth="1"/>
    <col min="4" max="4" width="7.42578125" style="3" hidden="1" customWidth="1"/>
    <col min="5" max="5" width="30.42578125" style="7" customWidth="1"/>
    <col min="6" max="6" width="7.7109375" style="8" hidden="1" customWidth="1"/>
    <col min="7" max="7" width="16.42578125" style="8" hidden="1" customWidth="1"/>
    <col min="8" max="8" width="8.140625" style="2" hidden="1" customWidth="1"/>
    <col min="9" max="10" width="8.140625" style="3" hidden="1" customWidth="1"/>
    <col min="11" max="11" width="4" style="3" hidden="1" customWidth="1"/>
    <col min="12" max="12" width="9" style="203" customWidth="1"/>
    <col min="13" max="13" width="8.42578125" style="204" customWidth="1"/>
    <col min="14" max="14" width="7.140625" style="205" customWidth="1"/>
    <col min="15" max="15" width="10.140625" style="203" customWidth="1"/>
    <col min="16" max="16" width="9.28515625" style="203" customWidth="1"/>
    <col min="17" max="17" width="9" style="205" customWidth="1"/>
    <col min="18" max="18" width="7" style="203" customWidth="1"/>
    <col min="19" max="19" width="10.85546875" style="203" customWidth="1"/>
    <col min="20" max="20" width="12" style="203" customWidth="1"/>
    <col min="21" max="21" width="10.5703125" style="203" customWidth="1"/>
    <col min="22" max="22" width="10" style="8" hidden="1" customWidth="1"/>
    <col min="23" max="23" width="7.28515625" style="206" hidden="1" customWidth="1"/>
    <col min="24" max="24" width="7.28515625" style="203" hidden="1" customWidth="1"/>
    <col min="25" max="25" width="9.28515625" style="8" hidden="1" customWidth="1"/>
    <col min="26" max="27" width="9.5703125" style="203" hidden="1" customWidth="1"/>
    <col min="28" max="28" width="9" style="203" hidden="1" customWidth="1"/>
    <col min="29" max="29" width="9" style="207" hidden="1" customWidth="1"/>
    <col min="30" max="30" width="9" style="208" hidden="1" customWidth="1"/>
    <col min="31" max="31" width="9" style="15" hidden="1" customWidth="1"/>
    <col min="32" max="32" width="11.140625" style="15" hidden="1" customWidth="1"/>
    <col min="33" max="33" width="10.42578125" style="16" hidden="1" customWidth="1"/>
    <col min="34" max="34" width="10.42578125" style="15" hidden="1" customWidth="1"/>
    <col min="35" max="35" width="11.7109375" style="16" hidden="1" customWidth="1"/>
    <col min="36" max="37" width="11.85546875" style="209" hidden="1" customWidth="1"/>
    <col min="38" max="38" width="11.85546875" style="16" hidden="1" customWidth="1"/>
    <col min="39" max="39" width="12.7109375" style="15" hidden="1" customWidth="1"/>
    <col min="40" max="40" width="12.140625" style="15" customWidth="1"/>
    <col min="41" max="41" width="12.42578125" style="16" hidden="1" customWidth="1"/>
    <col min="42" max="42" width="8.28515625" style="18" hidden="1" customWidth="1"/>
    <col min="43" max="43" width="10.5703125" style="15" hidden="1" customWidth="1"/>
    <col min="44" max="44" width="11.85546875" style="15" hidden="1" customWidth="1"/>
    <col min="45" max="45" width="11.5703125" style="16" hidden="1" customWidth="1"/>
    <col min="46" max="46" width="12.5703125" style="16" customWidth="1"/>
    <col min="47" max="47" width="10.42578125" style="6" hidden="1" customWidth="1"/>
    <col min="48" max="48" width="16.7109375" style="210" hidden="1" customWidth="1"/>
    <col min="49" max="54" width="11.42578125" style="6" customWidth="1"/>
    <col min="55" max="76" width="11.42578125" style="6"/>
    <col min="77" max="77" width="29" style="6" customWidth="1"/>
    <col min="78" max="80" width="11.42578125" style="6"/>
    <col min="81" max="81" width="25.140625" style="6" customWidth="1"/>
    <col min="82" max="16384" width="11.42578125" style="6"/>
  </cols>
  <sheetData>
    <row r="1" spans="1:54" ht="18" customHeight="1" x14ac:dyDescent="0.2">
      <c r="A1" s="1"/>
      <c r="E1" s="249" t="s">
        <v>0</v>
      </c>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4"/>
      <c r="AV1" s="5"/>
      <c r="AW1" s="4"/>
      <c r="AX1" s="4"/>
      <c r="AY1" s="4"/>
      <c r="AZ1" s="4"/>
      <c r="BA1" s="4"/>
      <c r="BB1" s="4"/>
    </row>
    <row r="2" spans="1:54" ht="15.75" customHeight="1" x14ac:dyDescent="0.2">
      <c r="A2" s="1"/>
      <c r="E2" s="250" t="s">
        <v>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4"/>
      <c r="AV2" s="5"/>
      <c r="AW2" s="4"/>
      <c r="AX2" s="4"/>
      <c r="AY2" s="4"/>
      <c r="AZ2" s="4"/>
      <c r="BA2" s="4"/>
      <c r="BB2" s="4"/>
    </row>
    <row r="3" spans="1:54" ht="15" x14ac:dyDescent="0.2">
      <c r="A3" s="1"/>
      <c r="E3" s="251" t="s">
        <v>2</v>
      </c>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4"/>
      <c r="AV3" s="5"/>
      <c r="AW3" s="4"/>
      <c r="AX3" s="4"/>
      <c r="AY3" s="4"/>
      <c r="AZ3" s="4"/>
      <c r="BA3" s="4"/>
      <c r="BB3" s="4"/>
    </row>
    <row r="4" spans="1:54" ht="12.75" customHeight="1" x14ac:dyDescent="0.2">
      <c r="A4" s="1"/>
      <c r="E4" s="252" t="s">
        <v>3</v>
      </c>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4"/>
      <c r="AV4" s="5"/>
      <c r="AW4" s="4"/>
      <c r="AX4" s="4"/>
      <c r="AY4" s="4"/>
      <c r="AZ4" s="4"/>
      <c r="BA4" s="4"/>
      <c r="BB4" s="4"/>
    </row>
    <row r="5" spans="1:54" ht="24.75" customHeight="1" thickBot="1" x14ac:dyDescent="0.25">
      <c r="A5" s="1"/>
      <c r="H5" s="8"/>
      <c r="I5" s="9"/>
      <c r="L5" s="8"/>
      <c r="M5" s="10"/>
      <c r="N5" s="11"/>
      <c r="O5" s="8"/>
      <c r="P5" s="8"/>
      <c r="Q5" s="11"/>
      <c r="R5" s="8"/>
      <c r="S5" s="8"/>
      <c r="T5" s="8"/>
      <c r="U5" s="8"/>
      <c r="W5" s="12"/>
      <c r="X5" s="8"/>
      <c r="Z5" s="8"/>
      <c r="AA5" s="8"/>
      <c r="AB5" s="8"/>
      <c r="AC5" s="13"/>
      <c r="AD5" s="14"/>
      <c r="AJ5" s="17"/>
      <c r="AK5" s="17"/>
      <c r="AU5" s="4"/>
      <c r="AV5" s="5"/>
      <c r="AW5" s="4"/>
      <c r="AX5" s="4"/>
      <c r="AY5" s="4"/>
      <c r="AZ5" s="4"/>
      <c r="BA5" s="4"/>
      <c r="BB5" s="4"/>
    </row>
    <row r="6" spans="1:54" ht="33" customHeight="1" thickBot="1" x14ac:dyDescent="0.25">
      <c r="A6" s="218" t="s">
        <v>4</v>
      </c>
      <c r="B6" s="211" t="s">
        <v>5</v>
      </c>
      <c r="C6" s="219" t="s">
        <v>6</v>
      </c>
      <c r="D6" s="219" t="s">
        <v>7</v>
      </c>
      <c r="E6" s="211" t="s">
        <v>8</v>
      </c>
      <c r="F6" s="19"/>
      <c r="G6" s="211" t="s">
        <v>9</v>
      </c>
      <c r="H6" s="211" t="s">
        <v>10</v>
      </c>
      <c r="I6" s="219" t="s">
        <v>11</v>
      </c>
      <c r="J6" s="220" t="s">
        <v>12</v>
      </c>
      <c r="K6" s="220" t="s">
        <v>13</v>
      </c>
      <c r="L6" s="211" t="s">
        <v>14</v>
      </c>
      <c r="M6" s="211" t="s">
        <v>15</v>
      </c>
      <c r="N6" s="211" t="s">
        <v>16</v>
      </c>
      <c r="O6" s="211" t="s">
        <v>17</v>
      </c>
      <c r="P6" s="21" t="s">
        <v>18</v>
      </c>
      <c r="Q6" s="20"/>
      <c r="R6" s="211" t="s">
        <v>19</v>
      </c>
      <c r="S6" s="221" t="s">
        <v>20</v>
      </c>
      <c r="T6" s="222"/>
      <c r="U6" s="222"/>
      <c r="V6" s="222"/>
      <c r="W6" s="222"/>
      <c r="X6" s="223"/>
      <c r="Y6" s="211" t="s">
        <v>21</v>
      </c>
      <c r="Z6" s="221" t="s">
        <v>22</v>
      </c>
      <c r="AA6" s="222"/>
      <c r="AB6" s="222"/>
      <c r="AC6" s="222"/>
      <c r="AD6" s="223"/>
      <c r="AE6" s="224" t="s">
        <v>23</v>
      </c>
      <c r="AF6" s="224" t="s">
        <v>24</v>
      </c>
      <c r="AG6" s="221" t="s">
        <v>25</v>
      </c>
      <c r="AH6" s="225"/>
      <c r="AI6" s="23"/>
      <c r="AJ6" s="221" t="s">
        <v>26</v>
      </c>
      <c r="AK6" s="225"/>
      <c r="AL6" s="23"/>
      <c r="AM6" s="22" t="s">
        <v>27</v>
      </c>
      <c r="AN6" s="214" t="s">
        <v>28</v>
      </c>
      <c r="AO6" s="23"/>
      <c r="AP6" s="211" t="s">
        <v>29</v>
      </c>
      <c r="AQ6" s="221" t="s">
        <v>30</v>
      </c>
      <c r="AR6" s="222"/>
      <c r="AS6" s="223"/>
      <c r="AT6" s="216" t="s">
        <v>31</v>
      </c>
      <c r="AU6" s="226" t="s">
        <v>32</v>
      </c>
      <c r="AV6" s="211" t="s">
        <v>21</v>
      </c>
      <c r="AW6" s="4"/>
      <c r="AX6" s="4"/>
      <c r="AY6" s="4"/>
      <c r="AZ6" s="4"/>
      <c r="BA6" s="4"/>
      <c r="BB6" s="4"/>
    </row>
    <row r="7" spans="1:54" s="31" customFormat="1" ht="47.25" customHeight="1" thickBot="1" x14ac:dyDescent="0.25">
      <c r="A7" s="227"/>
      <c r="B7" s="212"/>
      <c r="C7" s="228"/>
      <c r="D7" s="228"/>
      <c r="E7" s="212"/>
      <c r="F7" s="24" t="s">
        <v>33</v>
      </c>
      <c r="G7" s="212"/>
      <c r="H7" s="212"/>
      <c r="I7" s="228"/>
      <c r="J7" s="229"/>
      <c r="K7" s="229"/>
      <c r="L7" s="212"/>
      <c r="M7" s="212"/>
      <c r="N7" s="212"/>
      <c r="O7" s="212"/>
      <c r="P7" s="25" t="s">
        <v>34</v>
      </c>
      <c r="Q7" s="25" t="s">
        <v>35</v>
      </c>
      <c r="R7" s="213"/>
      <c r="S7" s="25" t="s">
        <v>36</v>
      </c>
      <c r="T7" s="25" t="s">
        <v>37</v>
      </c>
      <c r="U7" s="25" t="s">
        <v>38</v>
      </c>
      <c r="V7" s="19" t="s">
        <v>39</v>
      </c>
      <c r="W7" s="26" t="s">
        <v>40</v>
      </c>
      <c r="X7" s="19" t="s">
        <v>41</v>
      </c>
      <c r="Y7" s="212"/>
      <c r="Z7" s="24" t="s">
        <v>42</v>
      </c>
      <c r="AA7" s="24" t="s">
        <v>43</v>
      </c>
      <c r="AB7" s="24" t="s">
        <v>44</v>
      </c>
      <c r="AC7" s="24" t="s">
        <v>45</v>
      </c>
      <c r="AD7" s="27" t="s">
        <v>46</v>
      </c>
      <c r="AE7" s="230"/>
      <c r="AF7" s="230"/>
      <c r="AG7" s="25" t="s">
        <v>47</v>
      </c>
      <c r="AH7" s="25" t="s">
        <v>48</v>
      </c>
      <c r="AI7" s="25" t="s">
        <v>44</v>
      </c>
      <c r="AJ7" s="25" t="s">
        <v>49</v>
      </c>
      <c r="AK7" s="25" t="s">
        <v>50</v>
      </c>
      <c r="AL7" s="25" t="s">
        <v>51</v>
      </c>
      <c r="AM7" s="28" t="s">
        <v>52</v>
      </c>
      <c r="AN7" s="215"/>
      <c r="AO7" s="29" t="s">
        <v>53</v>
      </c>
      <c r="AP7" s="212"/>
      <c r="AQ7" s="30" t="s">
        <v>54</v>
      </c>
      <c r="AR7" s="30" t="s">
        <v>55</v>
      </c>
      <c r="AS7" s="30" t="s">
        <v>56</v>
      </c>
      <c r="AT7" s="217"/>
      <c r="AU7" s="231"/>
      <c r="AV7" s="212"/>
    </row>
    <row r="8" spans="1:54" s="61" customFormat="1" ht="35.25" hidden="1" customHeight="1" x14ac:dyDescent="0.2">
      <c r="A8" s="32">
        <v>636</v>
      </c>
      <c r="B8" s="33" t="s">
        <v>57</v>
      </c>
      <c r="C8" s="34"/>
      <c r="D8" s="35">
        <v>29</v>
      </c>
      <c r="E8" s="36" t="s">
        <v>58</v>
      </c>
      <c r="F8" s="37" t="s">
        <v>59</v>
      </c>
      <c r="G8" s="36"/>
      <c r="H8" s="33" t="s">
        <v>60</v>
      </c>
      <c r="I8" s="38">
        <v>6227</v>
      </c>
      <c r="J8" s="38"/>
      <c r="K8" s="39">
        <v>2</v>
      </c>
      <c r="L8" s="40" t="s">
        <v>61</v>
      </c>
      <c r="M8" s="41" t="s">
        <v>62</v>
      </c>
      <c r="N8" s="42" t="s">
        <v>63</v>
      </c>
      <c r="O8" s="43" t="s">
        <v>64</v>
      </c>
      <c r="P8" s="44" t="s">
        <v>65</v>
      </c>
      <c r="Q8" s="44" t="s">
        <v>66</v>
      </c>
      <c r="R8" s="33" t="s">
        <v>67</v>
      </c>
      <c r="S8" s="45">
        <f t="shared" ref="S8:S53" si="0">T8+U8</f>
        <v>3039545.37</v>
      </c>
      <c r="T8" s="45">
        <f>2994406.75-6251.58</f>
        <v>2988155.17</v>
      </c>
      <c r="U8" s="45">
        <f>51525.97-135.77</f>
        <v>51390.200000000004</v>
      </c>
      <c r="V8" s="46" t="s">
        <v>68</v>
      </c>
      <c r="W8" s="47" t="s">
        <v>69</v>
      </c>
      <c r="X8" s="48"/>
      <c r="Y8" s="44" t="s">
        <v>70</v>
      </c>
      <c r="Z8" s="45">
        <f>51519.92-129.72</f>
        <v>51390.2</v>
      </c>
      <c r="AA8" s="45">
        <f>13132.08+6960+6566.04+5800+6566.04+6566.04+5800</f>
        <v>51390.200000000004</v>
      </c>
      <c r="AB8" s="45">
        <f t="shared" ref="AB8:AB15" si="1">Z8-AA8</f>
        <v>0</v>
      </c>
      <c r="AC8" s="49"/>
      <c r="AD8" s="50"/>
      <c r="AE8" s="51">
        <f t="shared" ref="AE8:AE53" si="2">U8-Z8</f>
        <v>0</v>
      </c>
      <c r="AF8" s="52">
        <f>T8-AG8-AJ8</f>
        <v>0</v>
      </c>
      <c r="AG8" s="52">
        <v>2988155.17</v>
      </c>
      <c r="AH8" s="52">
        <f>1494077.58+997272.82+195190.53+301614.24</f>
        <v>2988155.17</v>
      </c>
      <c r="AI8" s="53">
        <f t="shared" ref="AI8:AI29" si="3">SUM(AG8-AH8)</f>
        <v>0</v>
      </c>
      <c r="AJ8" s="54">
        <v>0</v>
      </c>
      <c r="AK8" s="55">
        <v>0</v>
      </c>
      <c r="AL8" s="53">
        <f t="shared" ref="AL8:AL26" si="4">+AJ8-AK8</f>
        <v>0</v>
      </c>
      <c r="AM8" s="52">
        <f t="shared" ref="AM8:AM29" si="5">SUM(AG8+Z8)+AJ8</f>
        <v>3039545.37</v>
      </c>
      <c r="AN8" s="51">
        <f t="shared" ref="AN8:AN29" si="6">SUM(AA8+AH8)+AK8</f>
        <v>3039545.37</v>
      </c>
      <c r="AO8" s="56">
        <f t="shared" ref="AO8:AO42" si="7">+AM8-AN8</f>
        <v>0</v>
      </c>
      <c r="AP8" s="57" t="s">
        <v>71</v>
      </c>
      <c r="AQ8" s="52">
        <v>1287997.9099999999</v>
      </c>
      <c r="AR8" s="51">
        <f>859717.95+168267.69+260012.27</f>
        <v>1287997.9099999999</v>
      </c>
      <c r="AS8" s="56">
        <f t="shared" ref="AS8:AS26" si="8">SUM(AQ8-AR8)</f>
        <v>0</v>
      </c>
      <c r="AT8" s="58">
        <f t="shared" ref="AT8:AT53" si="9">SUM(S8-AN8)</f>
        <v>0</v>
      </c>
      <c r="AU8" s="60"/>
      <c r="AV8" s="59"/>
    </row>
    <row r="9" spans="1:54" s="61" customFormat="1" ht="33" hidden="1" x14ac:dyDescent="0.2">
      <c r="A9" s="32">
        <v>636</v>
      </c>
      <c r="B9" s="33" t="s">
        <v>72</v>
      </c>
      <c r="C9" s="34"/>
      <c r="D9" s="35"/>
      <c r="E9" s="36" t="s">
        <v>73</v>
      </c>
      <c r="F9" s="37" t="s">
        <v>59</v>
      </c>
      <c r="G9" s="36"/>
      <c r="H9" s="33"/>
      <c r="I9" s="38">
        <v>6222</v>
      </c>
      <c r="J9" s="38"/>
      <c r="K9" s="39">
        <v>1.1000000000000001</v>
      </c>
      <c r="L9" s="40" t="s">
        <v>74</v>
      </c>
      <c r="M9" s="41" t="s">
        <v>75</v>
      </c>
      <c r="N9" s="42" t="s">
        <v>76</v>
      </c>
      <c r="O9" s="62" t="s">
        <v>77</v>
      </c>
      <c r="P9" s="44" t="s">
        <v>78</v>
      </c>
      <c r="Q9" s="44" t="s">
        <v>79</v>
      </c>
      <c r="R9" s="33" t="s">
        <v>80</v>
      </c>
      <c r="S9" s="45">
        <f t="shared" si="0"/>
        <v>1449678.26</v>
      </c>
      <c r="T9" s="45">
        <f>1426537.55-1430.11</f>
        <v>1425107.44</v>
      </c>
      <c r="U9" s="45">
        <f>24595.47-24.65</f>
        <v>24570.82</v>
      </c>
      <c r="V9" s="46" t="s">
        <v>81</v>
      </c>
      <c r="W9" s="63">
        <v>41737</v>
      </c>
      <c r="X9" s="48"/>
      <c r="Y9" s="44" t="s">
        <v>70</v>
      </c>
      <c r="Z9" s="45">
        <v>24570.82</v>
      </c>
      <c r="AA9" s="45">
        <f>17608.8+5220</f>
        <v>22828.799999999999</v>
      </c>
      <c r="AB9" s="45">
        <f t="shared" si="1"/>
        <v>1742.0200000000004</v>
      </c>
      <c r="AC9" s="49" t="s">
        <v>82</v>
      </c>
      <c r="AD9" s="50">
        <v>41926</v>
      </c>
      <c r="AE9" s="51">
        <f t="shared" si="2"/>
        <v>0</v>
      </c>
      <c r="AF9" s="52">
        <f t="shared" ref="AF9:AF53" si="10">T9-AG9-AJ9</f>
        <v>0</v>
      </c>
      <c r="AG9" s="52">
        <v>1425107.44</v>
      </c>
      <c r="AH9" s="52">
        <f>427532.23+565709.07+431866.14</f>
        <v>1425107.44</v>
      </c>
      <c r="AI9" s="53">
        <f t="shared" si="3"/>
        <v>0</v>
      </c>
      <c r="AJ9" s="54">
        <v>0</v>
      </c>
      <c r="AK9" s="55">
        <v>0</v>
      </c>
      <c r="AL9" s="53">
        <f t="shared" si="4"/>
        <v>0</v>
      </c>
      <c r="AM9" s="52">
        <f t="shared" si="5"/>
        <v>1449678.26</v>
      </c>
      <c r="AN9" s="51">
        <f t="shared" si="6"/>
        <v>1447936.24</v>
      </c>
      <c r="AO9" s="56">
        <f t="shared" si="7"/>
        <v>1742.0200000000186</v>
      </c>
      <c r="AP9" s="57" t="s">
        <v>83</v>
      </c>
      <c r="AQ9" s="52">
        <v>368562.27</v>
      </c>
      <c r="AR9" s="51">
        <f>209005.81+159556.46</f>
        <v>368562.27</v>
      </c>
      <c r="AS9" s="56">
        <f t="shared" si="8"/>
        <v>0</v>
      </c>
      <c r="AT9" s="58">
        <f t="shared" si="9"/>
        <v>1742.0200000000186</v>
      </c>
      <c r="AU9" s="60" t="s">
        <v>84</v>
      </c>
      <c r="AV9" s="59"/>
    </row>
    <row r="10" spans="1:54" ht="33" hidden="1" x14ac:dyDescent="0.2">
      <c r="A10" s="32">
        <v>636</v>
      </c>
      <c r="B10" s="33" t="s">
        <v>85</v>
      </c>
      <c r="C10" s="34"/>
      <c r="D10" s="35"/>
      <c r="E10" s="36" t="s">
        <v>86</v>
      </c>
      <c r="F10" s="36"/>
      <c r="G10" s="36"/>
      <c r="H10" s="33"/>
      <c r="I10" s="38">
        <v>6162</v>
      </c>
      <c r="J10" s="38"/>
      <c r="K10" s="39">
        <v>1.1000000000000001</v>
      </c>
      <c r="L10" s="40" t="s">
        <v>74</v>
      </c>
      <c r="M10" s="41" t="s">
        <v>87</v>
      </c>
      <c r="N10" s="42" t="s">
        <v>76</v>
      </c>
      <c r="O10" s="62" t="s">
        <v>88</v>
      </c>
      <c r="P10" s="44" t="s">
        <v>89</v>
      </c>
      <c r="Q10" s="44" t="s">
        <v>90</v>
      </c>
      <c r="R10" s="33" t="s">
        <v>91</v>
      </c>
      <c r="S10" s="45">
        <f t="shared" si="0"/>
        <v>3637228.2800000003</v>
      </c>
      <c r="T10" s="45">
        <v>3575580.35</v>
      </c>
      <c r="U10" s="45">
        <v>61647.93</v>
      </c>
      <c r="V10" s="46" t="s">
        <v>92</v>
      </c>
      <c r="W10" s="63">
        <v>41737</v>
      </c>
      <c r="X10" s="48"/>
      <c r="Y10" s="44" t="s">
        <v>70</v>
      </c>
      <c r="Z10" s="45">
        <v>61619.61</v>
      </c>
      <c r="AA10" s="45">
        <f>18056.61+10943.4+13132.08+13132.08+5471.7+870</f>
        <v>61605.87</v>
      </c>
      <c r="AB10" s="45">
        <f t="shared" si="1"/>
        <v>13.739999999997963</v>
      </c>
      <c r="AC10" s="49" t="s">
        <v>93</v>
      </c>
      <c r="AD10" s="50">
        <v>41905</v>
      </c>
      <c r="AE10" s="51">
        <f t="shared" si="2"/>
        <v>28.319999999999709</v>
      </c>
      <c r="AF10" s="52">
        <f t="shared" si="10"/>
        <v>300645.85000000009</v>
      </c>
      <c r="AG10" s="52">
        <f>3573937.61-299003.11</f>
        <v>3274934.5</v>
      </c>
      <c r="AH10" s="52">
        <f>1072181.28+1345630.66+857122.56</f>
        <v>3274934.5</v>
      </c>
      <c r="AI10" s="53">
        <f t="shared" si="3"/>
        <v>0</v>
      </c>
      <c r="AJ10" s="54">
        <v>0</v>
      </c>
      <c r="AK10" s="55">
        <v>0</v>
      </c>
      <c r="AL10" s="53">
        <f t="shared" si="4"/>
        <v>0</v>
      </c>
      <c r="AM10" s="52">
        <f t="shared" si="5"/>
        <v>3336554.11</v>
      </c>
      <c r="AN10" s="51">
        <f t="shared" si="6"/>
        <v>3336540.37</v>
      </c>
      <c r="AO10" s="56">
        <f t="shared" si="7"/>
        <v>13.739999999757856</v>
      </c>
      <c r="AP10" s="57" t="s">
        <v>83</v>
      </c>
      <c r="AQ10" s="52">
        <v>924294.21</v>
      </c>
      <c r="AR10" s="51">
        <f>497154.19+427140.02</f>
        <v>924294.21</v>
      </c>
      <c r="AS10" s="56">
        <f t="shared" si="8"/>
        <v>0</v>
      </c>
      <c r="AT10" s="58">
        <f t="shared" si="9"/>
        <v>300687.91000000015</v>
      </c>
      <c r="AU10" s="48" t="s">
        <v>94</v>
      </c>
      <c r="AV10" s="46"/>
    </row>
    <row r="11" spans="1:54" s="61" customFormat="1" ht="24.75" hidden="1" x14ac:dyDescent="0.2">
      <c r="A11" s="32">
        <v>636</v>
      </c>
      <c r="B11" s="33" t="s">
        <v>106</v>
      </c>
      <c r="C11" s="34"/>
      <c r="D11" s="35">
        <v>18</v>
      </c>
      <c r="E11" s="36" t="s">
        <v>107</v>
      </c>
      <c r="F11" s="36"/>
      <c r="G11" s="36"/>
      <c r="H11" s="33" t="s">
        <v>60</v>
      </c>
      <c r="I11" s="38">
        <v>6142</v>
      </c>
      <c r="J11" s="38"/>
      <c r="K11" s="39">
        <v>2</v>
      </c>
      <c r="L11" s="40" t="s">
        <v>61</v>
      </c>
      <c r="M11" s="41" t="s">
        <v>108</v>
      </c>
      <c r="N11" s="42" t="s">
        <v>63</v>
      </c>
      <c r="O11" s="62" t="s">
        <v>88</v>
      </c>
      <c r="P11" s="44" t="s">
        <v>109</v>
      </c>
      <c r="Q11" s="44" t="s">
        <v>110</v>
      </c>
      <c r="R11" s="33" t="s">
        <v>111</v>
      </c>
      <c r="S11" s="45">
        <f t="shared" si="0"/>
        <v>249965.93</v>
      </c>
      <c r="T11" s="45">
        <v>249965.93</v>
      </c>
      <c r="U11" s="45">
        <v>0</v>
      </c>
      <c r="V11" s="46" t="s">
        <v>112</v>
      </c>
      <c r="W11" s="63">
        <v>41724</v>
      </c>
      <c r="X11" s="48"/>
      <c r="Y11" s="44" t="s">
        <v>101</v>
      </c>
      <c r="Z11" s="45"/>
      <c r="AA11" s="45"/>
      <c r="AB11" s="45">
        <f t="shared" si="1"/>
        <v>0</v>
      </c>
      <c r="AC11" s="49"/>
      <c r="AD11" s="50"/>
      <c r="AE11" s="51">
        <f t="shared" si="2"/>
        <v>0</v>
      </c>
      <c r="AF11" s="52">
        <f t="shared" si="10"/>
        <v>27116.720000000001</v>
      </c>
      <c r="AG11" s="52">
        <v>222849.21</v>
      </c>
      <c r="AH11" s="52">
        <f>204262.78+18586.43</f>
        <v>222849.21</v>
      </c>
      <c r="AI11" s="53">
        <f t="shared" si="3"/>
        <v>0</v>
      </c>
      <c r="AJ11" s="54">
        <v>0</v>
      </c>
      <c r="AK11" s="55">
        <v>0</v>
      </c>
      <c r="AL11" s="53">
        <f t="shared" si="4"/>
        <v>0</v>
      </c>
      <c r="AM11" s="52">
        <f t="shared" si="5"/>
        <v>222849.21</v>
      </c>
      <c r="AN11" s="51">
        <f t="shared" si="6"/>
        <v>222849.21</v>
      </c>
      <c r="AO11" s="56">
        <f t="shared" si="7"/>
        <v>0</v>
      </c>
      <c r="AP11" s="57" t="s">
        <v>105</v>
      </c>
      <c r="AQ11" s="52"/>
      <c r="AR11" s="51"/>
      <c r="AS11" s="56">
        <f t="shared" si="8"/>
        <v>0</v>
      </c>
      <c r="AT11" s="56">
        <f t="shared" si="9"/>
        <v>27116.720000000001</v>
      </c>
      <c r="AU11" s="60"/>
      <c r="AV11" s="59"/>
    </row>
    <row r="12" spans="1:54" s="61" customFormat="1" ht="60.75" hidden="1" x14ac:dyDescent="0.2">
      <c r="A12" s="32">
        <v>636</v>
      </c>
      <c r="B12" s="33" t="s">
        <v>113</v>
      </c>
      <c r="C12" s="34"/>
      <c r="D12" s="35">
        <v>25</v>
      </c>
      <c r="E12" s="36" t="s">
        <v>114</v>
      </c>
      <c r="F12" s="36"/>
      <c r="G12" s="36"/>
      <c r="H12" s="33"/>
      <c r="I12" s="38" t="s">
        <v>115</v>
      </c>
      <c r="J12" s="38"/>
      <c r="K12" s="39">
        <v>1.2</v>
      </c>
      <c r="L12" s="40" t="s">
        <v>116</v>
      </c>
      <c r="M12" s="41" t="s">
        <v>117</v>
      </c>
      <c r="N12" s="42" t="s">
        <v>76</v>
      </c>
      <c r="O12" s="62" t="s">
        <v>118</v>
      </c>
      <c r="P12" s="44" t="s">
        <v>104</v>
      </c>
      <c r="Q12" s="44" t="s">
        <v>119</v>
      </c>
      <c r="R12" s="33" t="s">
        <v>120</v>
      </c>
      <c r="S12" s="45">
        <f t="shared" si="0"/>
        <v>1750000</v>
      </c>
      <c r="T12" s="45">
        <v>1735042.74</v>
      </c>
      <c r="U12" s="45">
        <v>14957.26</v>
      </c>
      <c r="V12" s="46" t="s">
        <v>121</v>
      </c>
      <c r="W12" s="47" t="s">
        <v>122</v>
      </c>
      <c r="X12" s="48"/>
      <c r="Y12" s="44" t="s">
        <v>123</v>
      </c>
      <c r="Z12" s="45">
        <v>14911.11</v>
      </c>
      <c r="AA12" s="45">
        <f>12760+2033.88</f>
        <v>14793.880000000001</v>
      </c>
      <c r="AB12" s="45">
        <f t="shared" si="1"/>
        <v>117.22999999999956</v>
      </c>
      <c r="AC12" s="49" t="s">
        <v>93</v>
      </c>
      <c r="AD12" s="50">
        <v>41982</v>
      </c>
      <c r="AE12" s="51">
        <f t="shared" si="2"/>
        <v>46.149999999999636</v>
      </c>
      <c r="AF12" s="52">
        <f t="shared" si="10"/>
        <v>5354.4899999999907</v>
      </c>
      <c r="AG12" s="52">
        <v>1729688.25</v>
      </c>
      <c r="AH12" s="52">
        <f>518906.48+405199.62+86679.55+718902.6</f>
        <v>1729688.25</v>
      </c>
      <c r="AI12" s="53">
        <f t="shared" si="3"/>
        <v>0</v>
      </c>
      <c r="AJ12" s="54">
        <v>0</v>
      </c>
      <c r="AK12" s="55">
        <v>0</v>
      </c>
      <c r="AL12" s="53">
        <f t="shared" si="4"/>
        <v>0</v>
      </c>
      <c r="AM12" s="52">
        <f t="shared" si="5"/>
        <v>1744599.36</v>
      </c>
      <c r="AN12" s="51">
        <f t="shared" si="6"/>
        <v>1744482.13</v>
      </c>
      <c r="AO12" s="56">
        <f t="shared" si="7"/>
        <v>117.2300000002142</v>
      </c>
      <c r="AP12" s="57"/>
      <c r="AQ12" s="52">
        <v>447333.17</v>
      </c>
      <c r="AR12" s="51">
        <f>149704.3+32024.47+265604.4</f>
        <v>447333.17000000004</v>
      </c>
      <c r="AS12" s="56">
        <f t="shared" si="8"/>
        <v>-5.8207660913467407E-11</v>
      </c>
      <c r="AT12" s="56">
        <f t="shared" si="9"/>
        <v>5517.8700000001118</v>
      </c>
      <c r="AU12" s="60"/>
      <c r="AV12" s="59"/>
    </row>
    <row r="13" spans="1:54" s="61" customFormat="1" ht="57.75" hidden="1" x14ac:dyDescent="0.2">
      <c r="A13" s="32">
        <v>636</v>
      </c>
      <c r="B13" s="33" t="s">
        <v>124</v>
      </c>
      <c r="C13" s="34"/>
      <c r="D13" s="35">
        <v>24</v>
      </c>
      <c r="E13" s="36" t="s">
        <v>125</v>
      </c>
      <c r="F13" s="37" t="s">
        <v>59</v>
      </c>
      <c r="G13" s="36"/>
      <c r="H13" s="33"/>
      <c r="I13" s="38">
        <v>6223</v>
      </c>
      <c r="J13" s="38"/>
      <c r="K13" s="39">
        <v>1.2</v>
      </c>
      <c r="L13" s="40" t="s">
        <v>126</v>
      </c>
      <c r="M13" s="41" t="s">
        <v>117</v>
      </c>
      <c r="N13" s="42" t="s">
        <v>127</v>
      </c>
      <c r="O13" s="62" t="s">
        <v>118</v>
      </c>
      <c r="P13" s="44" t="s">
        <v>128</v>
      </c>
      <c r="Q13" s="44" t="s">
        <v>129</v>
      </c>
      <c r="R13" s="33" t="s">
        <v>130</v>
      </c>
      <c r="S13" s="45">
        <f t="shared" si="0"/>
        <v>53548463.399999999</v>
      </c>
      <c r="T13" s="45">
        <f>53255852.96-5771.84</f>
        <v>53250081.119999997</v>
      </c>
      <c r="U13" s="45">
        <f>298416.42-34.14</f>
        <v>298382.27999999997</v>
      </c>
      <c r="V13" s="46" t="s">
        <v>131</v>
      </c>
      <c r="W13" s="47" t="s">
        <v>132</v>
      </c>
      <c r="X13" s="48"/>
      <c r="Y13" s="44" t="s">
        <v>133</v>
      </c>
      <c r="Z13" s="45">
        <f>298384.08-1.8</f>
        <v>298382.28000000003</v>
      </c>
      <c r="AA13" s="45">
        <f>10580+10580+10580+10580+12760+10943.4+10943.4+10943.4+13132.08+10943.4+13132.08+13132.08+10943.4+13132.08+10943.4+13132.08+12891.32-12891.32+10943.4+35206+13132.08+11600+40500+600</f>
        <v>298382.27999999991</v>
      </c>
      <c r="AB13" s="45">
        <f t="shared" si="1"/>
        <v>0</v>
      </c>
      <c r="AC13" s="49" t="s">
        <v>93</v>
      </c>
      <c r="AD13" s="50">
        <v>41914</v>
      </c>
      <c r="AE13" s="51">
        <f t="shared" si="2"/>
        <v>0</v>
      </c>
      <c r="AF13" s="52">
        <f t="shared" si="10"/>
        <v>-7.4505805969238281E-9</v>
      </c>
      <c r="AG13" s="52">
        <f>53250081.13-0.01</f>
        <v>53250081.120000005</v>
      </c>
      <c r="AH13" s="52">
        <f>15975024.34+19611751.62+10659786.36+6117727.36+885791.44</f>
        <v>53250081.119999997</v>
      </c>
      <c r="AI13" s="53">
        <f t="shared" si="3"/>
        <v>7.4505805969238281E-9</v>
      </c>
      <c r="AJ13" s="54">
        <v>0</v>
      </c>
      <c r="AK13" s="55">
        <v>0</v>
      </c>
      <c r="AL13" s="53">
        <f t="shared" si="4"/>
        <v>0</v>
      </c>
      <c r="AM13" s="52">
        <f t="shared" si="5"/>
        <v>53548463.400000006</v>
      </c>
      <c r="AN13" s="51">
        <f t="shared" si="6"/>
        <v>53548463.399999999</v>
      </c>
      <c r="AO13" s="56">
        <f t="shared" si="7"/>
        <v>0</v>
      </c>
      <c r="AP13" s="57" t="s">
        <v>134</v>
      </c>
      <c r="AQ13" s="52">
        <v>13771572.710000001</v>
      </c>
      <c r="AR13" s="51">
        <f>7245721.04+3938344.71+2260244.1+327262.86</f>
        <v>13771572.709999999</v>
      </c>
      <c r="AS13" s="56">
        <f t="shared" si="8"/>
        <v>1.862645149230957E-9</v>
      </c>
      <c r="AT13" s="58">
        <f t="shared" si="9"/>
        <v>0</v>
      </c>
      <c r="AU13" s="60"/>
      <c r="AV13" s="59"/>
    </row>
    <row r="14" spans="1:54" s="61" customFormat="1" ht="49.5" hidden="1" x14ac:dyDescent="0.2">
      <c r="A14" s="64">
        <v>6411</v>
      </c>
      <c r="B14" s="33" t="s">
        <v>135</v>
      </c>
      <c r="C14" s="34"/>
      <c r="D14" s="35">
        <v>23</v>
      </c>
      <c r="E14" s="36" t="s">
        <v>136</v>
      </c>
      <c r="F14" s="37" t="s">
        <v>59</v>
      </c>
      <c r="G14" s="36"/>
      <c r="H14" s="33"/>
      <c r="I14" s="38">
        <v>6229</v>
      </c>
      <c r="J14" s="38"/>
      <c r="K14" s="39">
        <v>1</v>
      </c>
      <c r="L14" s="40" t="s">
        <v>137</v>
      </c>
      <c r="M14" s="41" t="s">
        <v>138</v>
      </c>
      <c r="N14" s="42" t="s">
        <v>139</v>
      </c>
      <c r="O14" s="62" t="s">
        <v>140</v>
      </c>
      <c r="P14" s="44" t="s">
        <v>141</v>
      </c>
      <c r="Q14" s="44" t="s">
        <v>142</v>
      </c>
      <c r="R14" s="33" t="s">
        <v>143</v>
      </c>
      <c r="S14" s="45">
        <f t="shared" si="0"/>
        <v>1716728.55</v>
      </c>
      <c r="T14" s="45">
        <f>1740000-23271.44-0.01</f>
        <v>1716728.55</v>
      </c>
      <c r="U14" s="45">
        <v>0</v>
      </c>
      <c r="V14" s="46" t="s">
        <v>144</v>
      </c>
      <c r="W14" s="47" t="s">
        <v>145</v>
      </c>
      <c r="X14" s="48"/>
      <c r="Y14" s="44" t="s">
        <v>101</v>
      </c>
      <c r="Z14" s="45"/>
      <c r="AA14" s="45"/>
      <c r="AB14" s="45">
        <f t="shared" si="1"/>
        <v>0</v>
      </c>
      <c r="AC14" s="49"/>
      <c r="AD14" s="50"/>
      <c r="AE14" s="51">
        <f t="shared" si="2"/>
        <v>0</v>
      </c>
      <c r="AF14" s="52">
        <f t="shared" si="10"/>
        <v>0</v>
      </c>
      <c r="AG14" s="52">
        <f>1716728.56-0.01</f>
        <v>1716728.55</v>
      </c>
      <c r="AH14" s="52">
        <f>858364.28+858364.27</f>
        <v>1716728.55</v>
      </c>
      <c r="AI14" s="53">
        <f t="shared" si="3"/>
        <v>0</v>
      </c>
      <c r="AJ14" s="54">
        <v>0</v>
      </c>
      <c r="AK14" s="55">
        <v>0</v>
      </c>
      <c r="AL14" s="53">
        <f t="shared" si="4"/>
        <v>0</v>
      </c>
      <c r="AM14" s="52">
        <f t="shared" si="5"/>
        <v>1716728.55</v>
      </c>
      <c r="AN14" s="51">
        <f t="shared" si="6"/>
        <v>1716728.55</v>
      </c>
      <c r="AO14" s="56">
        <f t="shared" si="7"/>
        <v>0</v>
      </c>
      <c r="AP14" s="57" t="s">
        <v>146</v>
      </c>
      <c r="AQ14" s="52"/>
      <c r="AR14" s="51"/>
      <c r="AS14" s="56">
        <f t="shared" si="8"/>
        <v>0</v>
      </c>
      <c r="AT14" s="58">
        <f t="shared" si="9"/>
        <v>0</v>
      </c>
      <c r="AU14" s="60"/>
      <c r="AV14" s="59"/>
    </row>
    <row r="15" spans="1:54" s="61" customFormat="1" ht="50.25" hidden="1" customHeight="1" x14ac:dyDescent="0.2">
      <c r="A15" s="32">
        <v>636</v>
      </c>
      <c r="B15" s="33" t="s">
        <v>147</v>
      </c>
      <c r="C15" s="34"/>
      <c r="D15" s="65">
        <v>19</v>
      </c>
      <c r="E15" s="36" t="s">
        <v>148</v>
      </c>
      <c r="F15" s="36"/>
      <c r="G15" s="36"/>
      <c r="H15" s="33"/>
      <c r="I15" s="38">
        <v>6228</v>
      </c>
      <c r="J15" s="38"/>
      <c r="K15" s="39">
        <v>1</v>
      </c>
      <c r="L15" s="40" t="s">
        <v>137</v>
      </c>
      <c r="M15" s="41" t="s">
        <v>108</v>
      </c>
      <c r="N15" s="42" t="s">
        <v>63</v>
      </c>
      <c r="O15" s="62" t="s">
        <v>88</v>
      </c>
      <c r="P15" s="44" t="s">
        <v>65</v>
      </c>
      <c r="Q15" s="44" t="s">
        <v>149</v>
      </c>
      <c r="R15" s="33" t="s">
        <v>150</v>
      </c>
      <c r="S15" s="45">
        <f t="shared" si="0"/>
        <v>1200000</v>
      </c>
      <c r="T15" s="45">
        <v>1200000</v>
      </c>
      <c r="U15" s="45">
        <v>0</v>
      </c>
      <c r="V15" s="46" t="s">
        <v>151</v>
      </c>
      <c r="W15" s="63">
        <v>41717</v>
      </c>
      <c r="X15" s="48"/>
      <c r="Y15" s="44" t="s">
        <v>101</v>
      </c>
      <c r="Z15" s="45"/>
      <c r="AA15" s="45"/>
      <c r="AB15" s="45">
        <f t="shared" si="1"/>
        <v>0</v>
      </c>
      <c r="AC15" s="49"/>
      <c r="AD15" s="50"/>
      <c r="AE15" s="51">
        <f t="shared" si="2"/>
        <v>0</v>
      </c>
      <c r="AF15" s="52">
        <f t="shared" si="10"/>
        <v>18714.429999999935</v>
      </c>
      <c r="AG15" s="52">
        <v>1181285.57</v>
      </c>
      <c r="AH15" s="52">
        <v>354385.67</v>
      </c>
      <c r="AI15" s="53">
        <f t="shared" si="3"/>
        <v>826899.90000000014</v>
      </c>
      <c r="AJ15" s="54">
        <v>0</v>
      </c>
      <c r="AK15" s="55">
        <v>0</v>
      </c>
      <c r="AL15" s="53">
        <f t="shared" si="4"/>
        <v>0</v>
      </c>
      <c r="AM15" s="52">
        <f t="shared" si="5"/>
        <v>1181285.57</v>
      </c>
      <c r="AN15" s="51">
        <f t="shared" si="6"/>
        <v>354385.67</v>
      </c>
      <c r="AO15" s="56">
        <f t="shared" si="7"/>
        <v>826899.90000000014</v>
      </c>
      <c r="AP15" s="57" t="s">
        <v>146</v>
      </c>
      <c r="AQ15" s="52">
        <v>305504.89</v>
      </c>
      <c r="AR15" s="51"/>
      <c r="AS15" s="56">
        <f t="shared" si="8"/>
        <v>305504.89</v>
      </c>
      <c r="AT15" s="56">
        <f t="shared" si="9"/>
        <v>845614.33000000007</v>
      </c>
      <c r="AU15" s="60"/>
      <c r="AV15" s="59"/>
    </row>
    <row r="16" spans="1:54" ht="33" hidden="1" x14ac:dyDescent="0.2">
      <c r="A16" s="32">
        <v>636</v>
      </c>
      <c r="B16" s="33" t="s">
        <v>152</v>
      </c>
      <c r="C16" s="66"/>
      <c r="D16" s="64"/>
      <c r="E16" s="67" t="s">
        <v>153</v>
      </c>
      <c r="F16" s="37" t="s">
        <v>59</v>
      </c>
      <c r="G16" s="67"/>
      <c r="H16" s="33"/>
      <c r="I16" s="39"/>
      <c r="J16" s="39"/>
      <c r="K16" s="39"/>
      <c r="L16" s="68" t="s">
        <v>154</v>
      </c>
      <c r="M16" s="69" t="s">
        <v>155</v>
      </c>
      <c r="N16" s="42" t="s">
        <v>63</v>
      </c>
      <c r="O16" s="62"/>
      <c r="P16" s="46" t="s">
        <v>141</v>
      </c>
      <c r="Q16" s="46" t="s">
        <v>156</v>
      </c>
      <c r="R16" s="33" t="s">
        <v>157</v>
      </c>
      <c r="S16" s="45">
        <f t="shared" si="0"/>
        <v>92281.54</v>
      </c>
      <c r="T16" s="45">
        <f>94580.01-2298.47</f>
        <v>92281.54</v>
      </c>
      <c r="U16" s="45">
        <v>0</v>
      </c>
      <c r="V16" s="46"/>
      <c r="W16" s="63"/>
      <c r="X16" s="48"/>
      <c r="Y16" s="46"/>
      <c r="Z16" s="45"/>
      <c r="AA16" s="45"/>
      <c r="AB16" s="45"/>
      <c r="AC16" s="45"/>
      <c r="AD16" s="70"/>
      <c r="AE16" s="51">
        <f t="shared" si="2"/>
        <v>0</v>
      </c>
      <c r="AF16" s="52">
        <f t="shared" si="10"/>
        <v>0</v>
      </c>
      <c r="AG16" s="52">
        <v>92281.54</v>
      </c>
      <c r="AH16" s="52">
        <v>92281.54</v>
      </c>
      <c r="AI16" s="53">
        <f t="shared" si="3"/>
        <v>0</v>
      </c>
      <c r="AJ16" s="54">
        <v>0</v>
      </c>
      <c r="AK16" s="55">
        <v>0</v>
      </c>
      <c r="AL16" s="53">
        <f t="shared" si="4"/>
        <v>0</v>
      </c>
      <c r="AM16" s="52">
        <f t="shared" si="5"/>
        <v>92281.54</v>
      </c>
      <c r="AN16" s="51">
        <f t="shared" si="6"/>
        <v>92281.54</v>
      </c>
      <c r="AO16" s="56">
        <f t="shared" si="7"/>
        <v>0</v>
      </c>
      <c r="AP16" s="71"/>
      <c r="AQ16" s="52"/>
      <c r="AR16" s="52"/>
      <c r="AS16" s="56">
        <f t="shared" si="8"/>
        <v>0</v>
      </c>
      <c r="AT16" s="58">
        <f t="shared" si="9"/>
        <v>0</v>
      </c>
      <c r="AU16" s="48"/>
      <c r="AV16" s="46"/>
    </row>
    <row r="17" spans="1:48" s="61" customFormat="1" ht="33" hidden="1" x14ac:dyDescent="0.2">
      <c r="A17" s="32">
        <v>636</v>
      </c>
      <c r="B17" s="72" t="s">
        <v>158</v>
      </c>
      <c r="C17" s="34"/>
      <c r="D17" s="65">
        <v>30</v>
      </c>
      <c r="E17" s="36" t="s">
        <v>159</v>
      </c>
      <c r="F17" s="37" t="s">
        <v>59</v>
      </c>
      <c r="G17" s="36"/>
      <c r="H17" s="72"/>
      <c r="I17" s="38">
        <v>6228</v>
      </c>
      <c r="J17" s="38"/>
      <c r="K17" s="65">
        <v>1</v>
      </c>
      <c r="L17" s="40" t="s">
        <v>137</v>
      </c>
      <c r="M17" s="41" t="s">
        <v>108</v>
      </c>
      <c r="N17" s="42" t="s">
        <v>63</v>
      </c>
      <c r="O17" s="42" t="s">
        <v>160</v>
      </c>
      <c r="P17" s="44" t="s">
        <v>65</v>
      </c>
      <c r="Q17" s="44" t="s">
        <v>161</v>
      </c>
      <c r="R17" s="72" t="s">
        <v>162</v>
      </c>
      <c r="S17" s="49">
        <f t="shared" si="0"/>
        <v>289714.91000000003</v>
      </c>
      <c r="T17" s="49">
        <f>283680.51-925.6</f>
        <v>282754.91000000003</v>
      </c>
      <c r="U17" s="49">
        <f>7336.56-376.56</f>
        <v>6960</v>
      </c>
      <c r="V17" s="44" t="s">
        <v>163</v>
      </c>
      <c r="W17" s="73" t="s">
        <v>164</v>
      </c>
      <c r="X17" s="74"/>
      <c r="Y17" s="44" t="s">
        <v>165</v>
      </c>
      <c r="Z17" s="45">
        <f>7312.63-352.63</f>
        <v>6960</v>
      </c>
      <c r="AA17" s="45">
        <f>4060+2900</f>
        <v>6960</v>
      </c>
      <c r="AB17" s="45">
        <f t="shared" ref="AB17:AB20" si="11">Z17-AA17</f>
        <v>0</v>
      </c>
      <c r="AC17" s="49" t="s">
        <v>82</v>
      </c>
      <c r="AD17" s="50">
        <v>41964</v>
      </c>
      <c r="AE17" s="51">
        <f t="shared" si="2"/>
        <v>0</v>
      </c>
      <c r="AF17" s="52">
        <f t="shared" si="10"/>
        <v>5.8207660913467407E-11</v>
      </c>
      <c r="AG17" s="52">
        <v>282754.90999999997</v>
      </c>
      <c r="AH17" s="52">
        <v>282754.90999999997</v>
      </c>
      <c r="AI17" s="52">
        <f t="shared" si="3"/>
        <v>0</v>
      </c>
      <c r="AJ17" s="54">
        <v>0</v>
      </c>
      <c r="AK17" s="55">
        <v>0</v>
      </c>
      <c r="AL17" s="53">
        <f t="shared" si="4"/>
        <v>0</v>
      </c>
      <c r="AM17" s="52">
        <f t="shared" si="5"/>
        <v>289714.90999999997</v>
      </c>
      <c r="AN17" s="51">
        <f t="shared" si="6"/>
        <v>289714.90999999997</v>
      </c>
      <c r="AO17" s="56">
        <f t="shared" si="7"/>
        <v>0</v>
      </c>
      <c r="AP17" s="57" t="s">
        <v>166</v>
      </c>
      <c r="AQ17" s="75"/>
      <c r="AR17" s="75"/>
      <c r="AS17" s="56">
        <f t="shared" si="8"/>
        <v>0</v>
      </c>
      <c r="AT17" s="58">
        <f t="shared" si="9"/>
        <v>5.8207660913467407E-11</v>
      </c>
      <c r="AU17" s="77"/>
      <c r="AV17" s="76"/>
    </row>
    <row r="18" spans="1:48" s="61" customFormat="1" ht="41.25" hidden="1" x14ac:dyDescent="0.2">
      <c r="A18" s="32">
        <v>636</v>
      </c>
      <c r="B18" s="33" t="s">
        <v>170</v>
      </c>
      <c r="C18" s="34"/>
      <c r="D18" s="35">
        <v>20</v>
      </c>
      <c r="E18" s="36" t="s">
        <v>171</v>
      </c>
      <c r="F18" s="37" t="s">
        <v>59</v>
      </c>
      <c r="G18" s="36"/>
      <c r="H18" s="33" t="s">
        <v>60</v>
      </c>
      <c r="I18" s="38">
        <v>6142</v>
      </c>
      <c r="J18" s="38"/>
      <c r="K18" s="39">
        <v>2</v>
      </c>
      <c r="L18" s="40" t="s">
        <v>61</v>
      </c>
      <c r="M18" s="41" t="s">
        <v>108</v>
      </c>
      <c r="N18" s="42" t="s">
        <v>63</v>
      </c>
      <c r="O18" s="62" t="s">
        <v>88</v>
      </c>
      <c r="P18" s="44" t="s">
        <v>141</v>
      </c>
      <c r="Q18" s="44" t="s">
        <v>172</v>
      </c>
      <c r="R18" s="33" t="s">
        <v>173</v>
      </c>
      <c r="S18" s="45">
        <f t="shared" si="0"/>
        <v>1140900.8400000001</v>
      </c>
      <c r="T18" s="45">
        <f>1141383.22-482.38</f>
        <v>1140900.8400000001</v>
      </c>
      <c r="U18" s="45">
        <v>0</v>
      </c>
      <c r="V18" s="46" t="s">
        <v>174</v>
      </c>
      <c r="W18" s="47" t="s">
        <v>175</v>
      </c>
      <c r="X18" s="48"/>
      <c r="Y18" s="44" t="s">
        <v>101</v>
      </c>
      <c r="Z18" s="45"/>
      <c r="AA18" s="45"/>
      <c r="AB18" s="45">
        <f t="shared" si="11"/>
        <v>0</v>
      </c>
      <c r="AC18" s="49"/>
      <c r="AD18" s="50"/>
      <c r="AE18" s="51">
        <f t="shared" si="2"/>
        <v>0</v>
      </c>
      <c r="AF18" s="52">
        <f t="shared" si="10"/>
        <v>0</v>
      </c>
      <c r="AG18" s="52">
        <v>1140900.8400000001</v>
      </c>
      <c r="AH18" s="52">
        <f>1014344.23+126556.61</f>
        <v>1140900.8400000001</v>
      </c>
      <c r="AI18" s="53">
        <f t="shared" si="3"/>
        <v>0</v>
      </c>
      <c r="AJ18" s="54">
        <v>0</v>
      </c>
      <c r="AK18" s="55">
        <v>0</v>
      </c>
      <c r="AL18" s="53">
        <f t="shared" si="4"/>
        <v>0</v>
      </c>
      <c r="AM18" s="52">
        <f t="shared" si="5"/>
        <v>1140900.8400000001</v>
      </c>
      <c r="AN18" s="51">
        <f t="shared" si="6"/>
        <v>1140900.8400000001</v>
      </c>
      <c r="AO18" s="56">
        <f t="shared" si="7"/>
        <v>0</v>
      </c>
      <c r="AP18" s="57" t="s">
        <v>71</v>
      </c>
      <c r="AQ18" s="52"/>
      <c r="AR18" s="51"/>
      <c r="AS18" s="56">
        <f t="shared" si="8"/>
        <v>0</v>
      </c>
      <c r="AT18" s="58">
        <f t="shared" si="9"/>
        <v>0</v>
      </c>
      <c r="AU18" s="60"/>
      <c r="AV18" s="59"/>
    </row>
    <row r="19" spans="1:48" s="61" customFormat="1" ht="41.25" hidden="1" x14ac:dyDescent="0.2">
      <c r="A19" s="32">
        <v>636</v>
      </c>
      <c r="B19" s="33" t="s">
        <v>176</v>
      </c>
      <c r="C19" s="34"/>
      <c r="D19" s="35">
        <v>21</v>
      </c>
      <c r="E19" s="36" t="s">
        <v>177</v>
      </c>
      <c r="F19" s="37" t="s">
        <v>59</v>
      </c>
      <c r="G19" s="36"/>
      <c r="H19" s="33" t="s">
        <v>60</v>
      </c>
      <c r="I19" s="38">
        <v>6142</v>
      </c>
      <c r="J19" s="38"/>
      <c r="K19" s="39">
        <v>2</v>
      </c>
      <c r="L19" s="40" t="s">
        <v>61</v>
      </c>
      <c r="M19" s="41" t="s">
        <v>108</v>
      </c>
      <c r="N19" s="42" t="s">
        <v>63</v>
      </c>
      <c r="O19" s="62" t="s">
        <v>88</v>
      </c>
      <c r="P19" s="44" t="s">
        <v>178</v>
      </c>
      <c r="Q19" s="44" t="s">
        <v>179</v>
      </c>
      <c r="R19" s="33" t="s">
        <v>180</v>
      </c>
      <c r="S19" s="45">
        <f t="shared" si="0"/>
        <v>382412.08</v>
      </c>
      <c r="T19" s="45">
        <f>374319.02-1327.31</f>
        <v>372991.71</v>
      </c>
      <c r="U19" s="45">
        <f>9680.66-260.29</f>
        <v>9420.369999999999</v>
      </c>
      <c r="V19" s="46" t="s">
        <v>174</v>
      </c>
      <c r="W19" s="47" t="s">
        <v>175</v>
      </c>
      <c r="X19" s="48"/>
      <c r="Y19" s="44" t="s">
        <v>165</v>
      </c>
      <c r="Z19" s="45">
        <f>9646.34-225.97</f>
        <v>9420.3700000000008</v>
      </c>
      <c r="AA19" s="45">
        <f>7660.37+1760</f>
        <v>9420.369999999999</v>
      </c>
      <c r="AB19" s="45">
        <f t="shared" si="11"/>
        <v>0</v>
      </c>
      <c r="AC19" s="49" t="s">
        <v>102</v>
      </c>
      <c r="AD19" s="50">
        <v>41954</v>
      </c>
      <c r="AE19" s="51">
        <f t="shared" si="2"/>
        <v>0</v>
      </c>
      <c r="AF19" s="52">
        <f t="shared" si="10"/>
        <v>0</v>
      </c>
      <c r="AG19" s="52">
        <v>372991.71</v>
      </c>
      <c r="AH19" s="52">
        <v>372991.71</v>
      </c>
      <c r="AI19" s="53">
        <f t="shared" si="3"/>
        <v>0</v>
      </c>
      <c r="AJ19" s="54">
        <v>0</v>
      </c>
      <c r="AK19" s="55">
        <v>0</v>
      </c>
      <c r="AL19" s="53">
        <f t="shared" si="4"/>
        <v>0</v>
      </c>
      <c r="AM19" s="52">
        <f t="shared" si="5"/>
        <v>382412.08</v>
      </c>
      <c r="AN19" s="51">
        <f t="shared" si="6"/>
        <v>382412.08</v>
      </c>
      <c r="AO19" s="56">
        <f t="shared" si="7"/>
        <v>0</v>
      </c>
      <c r="AP19" s="57" t="s">
        <v>105</v>
      </c>
      <c r="AQ19" s="52"/>
      <c r="AR19" s="51"/>
      <c r="AS19" s="56">
        <f t="shared" si="8"/>
        <v>0</v>
      </c>
      <c r="AT19" s="58">
        <f t="shared" si="9"/>
        <v>0</v>
      </c>
      <c r="AU19" s="60"/>
      <c r="AV19" s="59"/>
    </row>
    <row r="20" spans="1:48" s="61" customFormat="1" ht="41.25" hidden="1" x14ac:dyDescent="0.2">
      <c r="A20" s="32">
        <v>636</v>
      </c>
      <c r="B20" s="33" t="s">
        <v>181</v>
      </c>
      <c r="C20" s="34"/>
      <c r="D20" s="35">
        <v>22</v>
      </c>
      <c r="E20" s="36" t="s">
        <v>182</v>
      </c>
      <c r="F20" s="37" t="s">
        <v>59</v>
      </c>
      <c r="G20" s="36"/>
      <c r="H20" s="33" t="s">
        <v>60</v>
      </c>
      <c r="I20" s="38">
        <v>6142</v>
      </c>
      <c r="J20" s="38"/>
      <c r="K20" s="39">
        <v>2</v>
      </c>
      <c r="L20" s="40" t="s">
        <v>61</v>
      </c>
      <c r="M20" s="41" t="s">
        <v>108</v>
      </c>
      <c r="N20" s="42" t="s">
        <v>63</v>
      </c>
      <c r="O20" s="62" t="s">
        <v>88</v>
      </c>
      <c r="P20" s="44" t="s">
        <v>178</v>
      </c>
      <c r="Q20" s="44" t="s">
        <v>183</v>
      </c>
      <c r="R20" s="33" t="s">
        <v>184</v>
      </c>
      <c r="S20" s="45">
        <f t="shared" si="0"/>
        <v>148451.51</v>
      </c>
      <c r="T20" s="45">
        <f>153522.29-5070.78</f>
        <v>148451.51</v>
      </c>
      <c r="U20" s="45">
        <v>0</v>
      </c>
      <c r="V20" s="46" t="s">
        <v>174</v>
      </c>
      <c r="W20" s="47" t="s">
        <v>175</v>
      </c>
      <c r="X20" s="48"/>
      <c r="Y20" s="44" t="s">
        <v>101</v>
      </c>
      <c r="Z20" s="45"/>
      <c r="AA20" s="45"/>
      <c r="AB20" s="45">
        <f t="shared" si="11"/>
        <v>0</v>
      </c>
      <c r="AC20" s="49"/>
      <c r="AD20" s="50"/>
      <c r="AE20" s="51">
        <f t="shared" si="2"/>
        <v>0</v>
      </c>
      <c r="AF20" s="52">
        <f t="shared" si="10"/>
        <v>0</v>
      </c>
      <c r="AG20" s="52">
        <v>148451.51</v>
      </c>
      <c r="AH20" s="52">
        <v>148451.51</v>
      </c>
      <c r="AI20" s="53">
        <f t="shared" si="3"/>
        <v>0</v>
      </c>
      <c r="AJ20" s="54">
        <v>0</v>
      </c>
      <c r="AK20" s="55">
        <v>0</v>
      </c>
      <c r="AL20" s="53">
        <f t="shared" si="4"/>
        <v>0</v>
      </c>
      <c r="AM20" s="52">
        <f t="shared" si="5"/>
        <v>148451.51</v>
      </c>
      <c r="AN20" s="51">
        <f t="shared" si="6"/>
        <v>148451.51</v>
      </c>
      <c r="AO20" s="56">
        <f t="shared" si="7"/>
        <v>0</v>
      </c>
      <c r="AP20" s="57" t="s">
        <v>105</v>
      </c>
      <c r="AQ20" s="52"/>
      <c r="AR20" s="51"/>
      <c r="AS20" s="56">
        <f t="shared" si="8"/>
        <v>0</v>
      </c>
      <c r="AT20" s="58">
        <f t="shared" si="9"/>
        <v>0</v>
      </c>
      <c r="AU20" s="60"/>
      <c r="AV20" s="59"/>
    </row>
    <row r="21" spans="1:48" s="61" customFormat="1" ht="28.5" hidden="1" customHeight="1" x14ac:dyDescent="0.2">
      <c r="A21" s="32">
        <v>639</v>
      </c>
      <c r="B21" s="33" t="s">
        <v>185</v>
      </c>
      <c r="C21" s="81"/>
      <c r="D21" s="81"/>
      <c r="E21" s="253" t="s">
        <v>186</v>
      </c>
      <c r="F21" s="82"/>
      <c r="G21" s="82"/>
      <c r="H21" s="33" t="s">
        <v>187</v>
      </c>
      <c r="I21" s="38" t="s">
        <v>188</v>
      </c>
      <c r="J21" s="38"/>
      <c r="K21" s="39">
        <v>2.7</v>
      </c>
      <c r="L21" s="40" t="s">
        <v>189</v>
      </c>
      <c r="M21" s="41" t="s">
        <v>75</v>
      </c>
      <c r="N21" s="42" t="s">
        <v>63</v>
      </c>
      <c r="O21" s="41" t="s">
        <v>77</v>
      </c>
      <c r="P21" s="44" t="s">
        <v>190</v>
      </c>
      <c r="Q21" s="44" t="s">
        <v>191</v>
      </c>
      <c r="R21" s="256" t="s">
        <v>192</v>
      </c>
      <c r="S21" s="45">
        <f t="shared" si="0"/>
        <v>268587.51</v>
      </c>
      <c r="T21" s="45">
        <v>268587.51</v>
      </c>
      <c r="U21" s="45">
        <v>0</v>
      </c>
      <c r="V21" s="46" t="s">
        <v>193</v>
      </c>
      <c r="W21" s="47" t="s">
        <v>194</v>
      </c>
      <c r="X21" s="48"/>
      <c r="Y21" s="44" t="s">
        <v>101</v>
      </c>
      <c r="Z21" s="45"/>
      <c r="AA21" s="45"/>
      <c r="AB21" s="45"/>
      <c r="AC21" s="49"/>
      <c r="AD21" s="50"/>
      <c r="AE21" s="51">
        <f t="shared" si="2"/>
        <v>0</v>
      </c>
      <c r="AF21" s="52">
        <f t="shared" si="10"/>
        <v>21779.200000000012</v>
      </c>
      <c r="AG21" s="52">
        <v>246808.31</v>
      </c>
      <c r="AH21" s="52">
        <f>74042.5+172765.81</f>
        <v>246808.31</v>
      </c>
      <c r="AI21" s="53">
        <f t="shared" si="3"/>
        <v>0</v>
      </c>
      <c r="AJ21" s="54">
        <v>0</v>
      </c>
      <c r="AK21" s="55">
        <v>0</v>
      </c>
      <c r="AL21" s="53">
        <f t="shared" si="4"/>
        <v>0</v>
      </c>
      <c r="AM21" s="52">
        <f t="shared" si="5"/>
        <v>246808.31</v>
      </c>
      <c r="AN21" s="51">
        <f t="shared" si="6"/>
        <v>246808.31</v>
      </c>
      <c r="AO21" s="56">
        <f t="shared" si="7"/>
        <v>0</v>
      </c>
      <c r="AP21" s="57"/>
      <c r="AQ21" s="52">
        <v>63829.74</v>
      </c>
      <c r="AR21" s="51">
        <v>63829.74</v>
      </c>
      <c r="AS21" s="56">
        <f t="shared" si="8"/>
        <v>0</v>
      </c>
      <c r="AT21" s="56">
        <f t="shared" si="9"/>
        <v>21779.200000000012</v>
      </c>
      <c r="AU21" s="60"/>
      <c r="AV21" s="59"/>
    </row>
    <row r="22" spans="1:48" s="61" customFormat="1" ht="28.5" hidden="1" customHeight="1" x14ac:dyDescent="0.2">
      <c r="A22" s="32">
        <v>639</v>
      </c>
      <c r="B22" s="33" t="s">
        <v>185</v>
      </c>
      <c r="C22" s="83"/>
      <c r="D22" s="83"/>
      <c r="E22" s="254"/>
      <c r="F22" s="84"/>
      <c r="G22" s="84"/>
      <c r="H22" s="33" t="s">
        <v>187</v>
      </c>
      <c r="I22" s="38" t="s">
        <v>188</v>
      </c>
      <c r="J22" s="38"/>
      <c r="K22" s="39">
        <v>2.8</v>
      </c>
      <c r="L22" s="40" t="s">
        <v>195</v>
      </c>
      <c r="M22" s="41" t="s">
        <v>75</v>
      </c>
      <c r="N22" s="42" t="s">
        <v>63</v>
      </c>
      <c r="O22" s="41" t="s">
        <v>77</v>
      </c>
      <c r="P22" s="44" t="s">
        <v>190</v>
      </c>
      <c r="Q22" s="44" t="s">
        <v>191</v>
      </c>
      <c r="R22" s="257"/>
      <c r="S22" s="45">
        <f t="shared" si="0"/>
        <v>21072.32</v>
      </c>
      <c r="T22" s="45">
        <v>21072.32</v>
      </c>
      <c r="U22" s="45">
        <v>0</v>
      </c>
      <c r="V22" s="46" t="s">
        <v>193</v>
      </c>
      <c r="W22" s="47" t="s">
        <v>194</v>
      </c>
      <c r="X22" s="48"/>
      <c r="Y22" s="44" t="s">
        <v>101</v>
      </c>
      <c r="Z22" s="45"/>
      <c r="AA22" s="45"/>
      <c r="AB22" s="45"/>
      <c r="AC22" s="49"/>
      <c r="AD22" s="50"/>
      <c r="AE22" s="51">
        <f t="shared" si="2"/>
        <v>0</v>
      </c>
      <c r="AF22" s="52">
        <f t="shared" si="10"/>
        <v>1708.7099999999991</v>
      </c>
      <c r="AG22" s="52">
        <v>19363.61</v>
      </c>
      <c r="AH22" s="52">
        <f>5809.08+13554.53</f>
        <v>19363.61</v>
      </c>
      <c r="AI22" s="53">
        <f t="shared" si="3"/>
        <v>0</v>
      </c>
      <c r="AJ22" s="54">
        <v>0</v>
      </c>
      <c r="AK22" s="55">
        <v>0</v>
      </c>
      <c r="AL22" s="53">
        <f t="shared" si="4"/>
        <v>0</v>
      </c>
      <c r="AM22" s="52">
        <f t="shared" si="5"/>
        <v>19363.61</v>
      </c>
      <c r="AN22" s="51">
        <f t="shared" si="6"/>
        <v>19363.61</v>
      </c>
      <c r="AO22" s="56">
        <f t="shared" si="7"/>
        <v>0</v>
      </c>
      <c r="AP22" s="57"/>
      <c r="AQ22" s="52">
        <v>5007.83</v>
      </c>
      <c r="AR22" s="51">
        <v>5007.83</v>
      </c>
      <c r="AS22" s="56">
        <f t="shared" si="8"/>
        <v>0</v>
      </c>
      <c r="AT22" s="56">
        <f t="shared" si="9"/>
        <v>1708.7099999999991</v>
      </c>
      <c r="AU22" s="60"/>
      <c r="AV22" s="59"/>
    </row>
    <row r="23" spans="1:48" s="61" customFormat="1" ht="28.5" hidden="1" customHeight="1" x14ac:dyDescent="0.2">
      <c r="A23" s="32">
        <v>639</v>
      </c>
      <c r="B23" s="33" t="s">
        <v>185</v>
      </c>
      <c r="C23" s="35"/>
      <c r="D23" s="35"/>
      <c r="E23" s="255"/>
      <c r="F23" s="36"/>
      <c r="G23" s="36"/>
      <c r="H23" s="33" t="s">
        <v>187</v>
      </c>
      <c r="I23" s="38" t="s">
        <v>188</v>
      </c>
      <c r="J23" s="38"/>
      <c r="K23" s="39">
        <v>2.9</v>
      </c>
      <c r="L23" s="40" t="s">
        <v>196</v>
      </c>
      <c r="M23" s="41" t="s">
        <v>75</v>
      </c>
      <c r="N23" s="42" t="s">
        <v>63</v>
      </c>
      <c r="O23" s="41" t="s">
        <v>77</v>
      </c>
      <c r="P23" s="44" t="s">
        <v>190</v>
      </c>
      <c r="Q23" s="44" t="s">
        <v>191</v>
      </c>
      <c r="R23" s="258"/>
      <c r="S23" s="45">
        <f t="shared" si="0"/>
        <v>11986.94</v>
      </c>
      <c r="T23" s="45">
        <v>11986.94</v>
      </c>
      <c r="U23" s="45">
        <v>0</v>
      </c>
      <c r="V23" s="46" t="s">
        <v>193</v>
      </c>
      <c r="W23" s="47" t="s">
        <v>194</v>
      </c>
      <c r="X23" s="48"/>
      <c r="Y23" s="44" t="s">
        <v>101</v>
      </c>
      <c r="Z23" s="45"/>
      <c r="AA23" s="45"/>
      <c r="AB23" s="45"/>
      <c r="AC23" s="49"/>
      <c r="AD23" s="50"/>
      <c r="AE23" s="51">
        <f t="shared" si="2"/>
        <v>0</v>
      </c>
      <c r="AF23" s="52">
        <f t="shared" si="10"/>
        <v>972</v>
      </c>
      <c r="AG23" s="52">
        <v>11014.94</v>
      </c>
      <c r="AH23" s="52">
        <f>3304.48+7710.46</f>
        <v>11014.94</v>
      </c>
      <c r="AI23" s="53">
        <f t="shared" si="3"/>
        <v>0</v>
      </c>
      <c r="AJ23" s="54">
        <v>0</v>
      </c>
      <c r="AK23" s="55">
        <v>0</v>
      </c>
      <c r="AL23" s="53">
        <f t="shared" si="4"/>
        <v>0</v>
      </c>
      <c r="AM23" s="52">
        <f t="shared" si="5"/>
        <v>11014.94</v>
      </c>
      <c r="AN23" s="51">
        <f t="shared" si="6"/>
        <v>11014.94</v>
      </c>
      <c r="AO23" s="56">
        <f t="shared" si="7"/>
        <v>0</v>
      </c>
      <c r="AP23" s="57"/>
      <c r="AQ23" s="52">
        <v>2848.69</v>
      </c>
      <c r="AR23" s="51">
        <v>2848.69</v>
      </c>
      <c r="AS23" s="56">
        <f t="shared" si="8"/>
        <v>0</v>
      </c>
      <c r="AT23" s="56">
        <f t="shared" si="9"/>
        <v>972</v>
      </c>
      <c r="AU23" s="60"/>
      <c r="AV23" s="59"/>
    </row>
    <row r="24" spans="1:48" s="61" customFormat="1" ht="41.25" hidden="1" x14ac:dyDescent="0.2">
      <c r="A24" s="32">
        <v>636</v>
      </c>
      <c r="B24" s="33" t="s">
        <v>197</v>
      </c>
      <c r="C24" s="34"/>
      <c r="D24" s="35">
        <v>28</v>
      </c>
      <c r="E24" s="36" t="s">
        <v>198</v>
      </c>
      <c r="F24" s="37" t="s">
        <v>59</v>
      </c>
      <c r="G24" s="36" t="s">
        <v>103</v>
      </c>
      <c r="H24" s="33" t="s">
        <v>60</v>
      </c>
      <c r="I24" s="38">
        <v>6221</v>
      </c>
      <c r="J24" s="38"/>
      <c r="K24" s="39">
        <v>2</v>
      </c>
      <c r="L24" s="40" t="s">
        <v>61</v>
      </c>
      <c r="M24" s="41" t="s">
        <v>199</v>
      </c>
      <c r="N24" s="42" t="s">
        <v>76</v>
      </c>
      <c r="O24" s="62" t="s">
        <v>200</v>
      </c>
      <c r="P24" s="44" t="s">
        <v>104</v>
      </c>
      <c r="Q24" s="44" t="s">
        <v>201</v>
      </c>
      <c r="R24" s="33" t="s">
        <v>202</v>
      </c>
      <c r="S24" s="45">
        <f t="shared" si="0"/>
        <v>1040594.9899999999</v>
      </c>
      <c r="T24" s="45">
        <f>1118134.94-106291.04-0.01</f>
        <v>1011843.8899999999</v>
      </c>
      <c r="U24" s="45">
        <f>28917.28-166.18</f>
        <v>28751.1</v>
      </c>
      <c r="V24" s="46" t="s">
        <v>203</v>
      </c>
      <c r="W24" s="47" t="s">
        <v>204</v>
      </c>
      <c r="X24" s="48"/>
      <c r="Y24" s="44" t="s">
        <v>165</v>
      </c>
      <c r="Z24" s="45">
        <f>26237.68-166.18</f>
        <v>26071.5</v>
      </c>
      <c r="AA24" s="45">
        <f>8999.8+11600+5471.7</f>
        <v>26071.5</v>
      </c>
      <c r="AB24" s="45">
        <f>Z24-AA24</f>
        <v>0</v>
      </c>
      <c r="AC24" s="49" t="s">
        <v>82</v>
      </c>
      <c r="AD24" s="50">
        <v>41821</v>
      </c>
      <c r="AE24" s="51">
        <f t="shared" si="2"/>
        <v>2679.5999999999985</v>
      </c>
      <c r="AF24" s="52">
        <f t="shared" si="10"/>
        <v>-2679.6000000000931</v>
      </c>
      <c r="AG24" s="52">
        <f>1014523.5-0.01</f>
        <v>1014523.49</v>
      </c>
      <c r="AH24" s="52">
        <f>304357.05+415564.72+221176.79+73424.93</f>
        <v>1014523.49</v>
      </c>
      <c r="AI24" s="53">
        <f t="shared" si="3"/>
        <v>0</v>
      </c>
      <c r="AJ24" s="54">
        <v>0</v>
      </c>
      <c r="AK24" s="55">
        <v>0</v>
      </c>
      <c r="AL24" s="53">
        <f t="shared" si="4"/>
        <v>0</v>
      </c>
      <c r="AM24" s="52">
        <f t="shared" si="5"/>
        <v>1040594.99</v>
      </c>
      <c r="AN24" s="51">
        <f t="shared" si="6"/>
        <v>1040594.99</v>
      </c>
      <c r="AO24" s="56">
        <f t="shared" si="7"/>
        <v>0</v>
      </c>
      <c r="AP24" s="57" t="s">
        <v>205</v>
      </c>
      <c r="AQ24" s="52">
        <v>262376.77</v>
      </c>
      <c r="AR24" s="51">
        <f>153533.77+81715.57+27127.43</f>
        <v>262376.77</v>
      </c>
      <c r="AS24" s="56">
        <f t="shared" si="8"/>
        <v>0</v>
      </c>
      <c r="AT24" s="58">
        <f t="shared" si="9"/>
        <v>-1.1641532182693481E-10</v>
      </c>
      <c r="AU24" s="60"/>
      <c r="AV24" s="59"/>
    </row>
    <row r="25" spans="1:48" s="61" customFormat="1" ht="33" hidden="1" x14ac:dyDescent="0.2">
      <c r="A25" s="32">
        <v>639</v>
      </c>
      <c r="B25" s="33" t="s">
        <v>207</v>
      </c>
      <c r="C25" s="34"/>
      <c r="D25" s="35"/>
      <c r="E25" s="36" t="s">
        <v>208</v>
      </c>
      <c r="F25" s="36"/>
      <c r="G25" s="36"/>
      <c r="H25" s="33" t="s">
        <v>209</v>
      </c>
      <c r="I25" s="38">
        <v>6222</v>
      </c>
      <c r="J25" s="38"/>
      <c r="K25" s="39">
        <v>2.2999999999999998</v>
      </c>
      <c r="L25" s="40" t="s">
        <v>210</v>
      </c>
      <c r="M25" s="69" t="s">
        <v>75</v>
      </c>
      <c r="N25" s="42" t="s">
        <v>76</v>
      </c>
      <c r="O25" s="85" t="s">
        <v>211</v>
      </c>
      <c r="P25" s="44" t="s">
        <v>212</v>
      </c>
      <c r="Q25" s="44" t="s">
        <v>213</v>
      </c>
      <c r="R25" s="33" t="s">
        <v>214</v>
      </c>
      <c r="S25" s="45">
        <f t="shared" si="0"/>
        <v>10587322.1</v>
      </c>
      <c r="T25" s="45">
        <v>10587322.1</v>
      </c>
      <c r="U25" s="45">
        <v>0</v>
      </c>
      <c r="V25" s="46" t="s">
        <v>215</v>
      </c>
      <c r="W25" s="47" t="s">
        <v>216</v>
      </c>
      <c r="X25" s="48"/>
      <c r="Y25" s="44" t="s">
        <v>101</v>
      </c>
      <c r="Z25" s="45"/>
      <c r="AA25" s="45"/>
      <c r="AB25" s="45">
        <f>Z25-AA25</f>
        <v>0</v>
      </c>
      <c r="AC25" s="49"/>
      <c r="AD25" s="50"/>
      <c r="AE25" s="51">
        <f t="shared" si="2"/>
        <v>0</v>
      </c>
      <c r="AF25" s="52">
        <f t="shared" si="10"/>
        <v>795071.59999999963</v>
      </c>
      <c r="AG25" s="52">
        <v>9792250.5</v>
      </c>
      <c r="AH25" s="52">
        <f>4896125.25+4761432.2+134693.05</f>
        <v>9792250.5</v>
      </c>
      <c r="AI25" s="53">
        <f t="shared" si="3"/>
        <v>0</v>
      </c>
      <c r="AJ25" s="54">
        <v>0</v>
      </c>
      <c r="AK25" s="55">
        <v>0</v>
      </c>
      <c r="AL25" s="53">
        <f t="shared" si="4"/>
        <v>0</v>
      </c>
      <c r="AM25" s="52">
        <f t="shared" si="5"/>
        <v>9792250.5</v>
      </c>
      <c r="AN25" s="51">
        <f t="shared" si="6"/>
        <v>9792250.5</v>
      </c>
      <c r="AO25" s="56">
        <f t="shared" si="7"/>
        <v>0</v>
      </c>
      <c r="AP25" s="57"/>
      <c r="AQ25" s="52">
        <v>4220797.63</v>
      </c>
      <c r="AR25" s="51">
        <v>4220797.62</v>
      </c>
      <c r="AS25" s="56">
        <f t="shared" si="8"/>
        <v>9.9999997764825821E-3</v>
      </c>
      <c r="AT25" s="56">
        <f t="shared" si="9"/>
        <v>795071.59999999963</v>
      </c>
      <c r="AU25" s="60"/>
      <c r="AV25" s="59" t="s">
        <v>217</v>
      </c>
    </row>
    <row r="26" spans="1:48" ht="33" hidden="1" x14ac:dyDescent="0.2">
      <c r="A26" s="32">
        <v>636</v>
      </c>
      <c r="B26" s="86" t="s">
        <v>218</v>
      </c>
      <c r="C26" s="87"/>
      <c r="D26" s="81">
        <v>14</v>
      </c>
      <c r="E26" s="67" t="s">
        <v>219</v>
      </c>
      <c r="F26" s="82"/>
      <c r="G26" s="82"/>
      <c r="H26" s="86"/>
      <c r="I26" s="39">
        <v>6222</v>
      </c>
      <c r="J26" s="88"/>
      <c r="K26" s="88">
        <v>1</v>
      </c>
      <c r="L26" s="40" t="s">
        <v>137</v>
      </c>
      <c r="M26" s="89" t="s">
        <v>75</v>
      </c>
      <c r="N26" s="42" t="s">
        <v>76</v>
      </c>
      <c r="O26" s="85" t="s">
        <v>211</v>
      </c>
      <c r="P26" s="90" t="s">
        <v>206</v>
      </c>
      <c r="Q26" s="90" t="s">
        <v>220</v>
      </c>
      <c r="R26" s="86" t="s">
        <v>221</v>
      </c>
      <c r="S26" s="91">
        <f t="shared" si="0"/>
        <v>1712153.11</v>
      </c>
      <c r="T26" s="91">
        <v>1683133.57</v>
      </c>
      <c r="U26" s="91">
        <v>29019.54</v>
      </c>
      <c r="V26" s="92" t="s">
        <v>222</v>
      </c>
      <c r="W26" s="93" t="s">
        <v>223</v>
      </c>
      <c r="X26" s="94"/>
      <c r="Y26" s="90" t="s">
        <v>70</v>
      </c>
      <c r="Z26" s="91">
        <v>28771.61</v>
      </c>
      <c r="AA26" s="91">
        <f>28500+260-260</f>
        <v>28500</v>
      </c>
      <c r="AB26" s="91">
        <f>Z26-AA26</f>
        <v>271.61000000000058</v>
      </c>
      <c r="AC26" s="95" t="s">
        <v>102</v>
      </c>
      <c r="AD26" s="96">
        <v>42062</v>
      </c>
      <c r="AE26" s="51">
        <f t="shared" si="2"/>
        <v>247.93000000000029</v>
      </c>
      <c r="AF26" s="52">
        <f t="shared" si="10"/>
        <v>14379.959999999963</v>
      </c>
      <c r="AG26" s="97">
        <v>1668753.61</v>
      </c>
      <c r="AH26" s="97">
        <f>500626.08+404954.34+763173.19</f>
        <v>1668753.6099999999</v>
      </c>
      <c r="AI26" s="98">
        <f t="shared" si="3"/>
        <v>2.3283064365386963E-10</v>
      </c>
      <c r="AJ26" s="99">
        <v>0</v>
      </c>
      <c r="AK26" s="100">
        <v>0</v>
      </c>
      <c r="AL26" s="98">
        <f t="shared" si="4"/>
        <v>0</v>
      </c>
      <c r="AM26" s="97">
        <f t="shared" si="5"/>
        <v>1697525.2200000002</v>
      </c>
      <c r="AN26" s="101">
        <f t="shared" si="6"/>
        <v>1697253.6099999999</v>
      </c>
      <c r="AO26" s="102">
        <f t="shared" si="7"/>
        <v>271.61000000033528</v>
      </c>
      <c r="AP26" s="103"/>
      <c r="AQ26" s="97">
        <v>431574.21</v>
      </c>
      <c r="AR26" s="101">
        <f>149613.67+281960.54</f>
        <v>431574.20999999996</v>
      </c>
      <c r="AS26" s="102">
        <f t="shared" si="8"/>
        <v>5.8207660913467407E-11</v>
      </c>
      <c r="AT26" s="104">
        <f t="shared" si="9"/>
        <v>14899.500000000233</v>
      </c>
      <c r="AU26" s="94"/>
      <c r="AV26" s="92"/>
    </row>
    <row r="27" spans="1:48" ht="33.75" hidden="1" x14ac:dyDescent="0.2">
      <c r="A27" s="32">
        <v>636</v>
      </c>
      <c r="B27" s="105" t="s">
        <v>224</v>
      </c>
      <c r="C27" s="106"/>
      <c r="D27" s="107"/>
      <c r="E27" s="108" t="s">
        <v>225</v>
      </c>
      <c r="F27" s="37" t="s">
        <v>59</v>
      </c>
      <c r="G27" s="109"/>
      <c r="H27" s="33" t="s">
        <v>226</v>
      </c>
      <c r="I27" s="107">
        <v>6228</v>
      </c>
      <c r="J27" s="107"/>
      <c r="K27" s="107">
        <v>2.1</v>
      </c>
      <c r="L27" s="68" t="s">
        <v>227</v>
      </c>
      <c r="M27" s="69" t="s">
        <v>108</v>
      </c>
      <c r="N27" s="42" t="s">
        <v>63</v>
      </c>
      <c r="O27" s="46" t="s">
        <v>228</v>
      </c>
      <c r="P27" s="46" t="s">
        <v>229</v>
      </c>
      <c r="Q27" s="46" t="s">
        <v>230</v>
      </c>
      <c r="R27" s="86" t="s">
        <v>231</v>
      </c>
      <c r="S27" s="91">
        <f t="shared" si="0"/>
        <v>954100</v>
      </c>
      <c r="T27" s="91">
        <f>977272.58-23172.58</f>
        <v>954100</v>
      </c>
      <c r="U27" s="91">
        <v>0</v>
      </c>
      <c r="V27" s="67" t="s">
        <v>232</v>
      </c>
      <c r="W27" s="47" t="s">
        <v>233</v>
      </c>
      <c r="X27" s="48"/>
      <c r="Y27" s="109" t="s">
        <v>234</v>
      </c>
      <c r="Z27" s="45"/>
      <c r="AA27" s="45"/>
      <c r="AB27" s="45"/>
      <c r="AC27" s="48"/>
      <c r="AD27" s="63"/>
      <c r="AE27" s="51">
        <f t="shared" si="2"/>
        <v>0</v>
      </c>
      <c r="AF27" s="52">
        <f t="shared" si="10"/>
        <v>0</v>
      </c>
      <c r="AG27" s="52">
        <v>954100</v>
      </c>
      <c r="AH27" s="52">
        <v>954100</v>
      </c>
      <c r="AI27" s="98">
        <f t="shared" si="3"/>
        <v>0</v>
      </c>
      <c r="AJ27" s="110"/>
      <c r="AK27" s="110"/>
      <c r="AL27" s="111"/>
      <c r="AM27" s="97">
        <f t="shared" si="5"/>
        <v>954100</v>
      </c>
      <c r="AN27" s="101">
        <f t="shared" si="6"/>
        <v>954100</v>
      </c>
      <c r="AO27" s="102">
        <f t="shared" si="7"/>
        <v>0</v>
      </c>
      <c r="AP27" s="103" t="s">
        <v>205</v>
      </c>
      <c r="AQ27" s="112"/>
      <c r="AR27" s="112"/>
      <c r="AS27" s="111"/>
      <c r="AT27" s="113">
        <f t="shared" si="9"/>
        <v>0</v>
      </c>
      <c r="AU27" s="48"/>
      <c r="AV27" s="46"/>
    </row>
    <row r="28" spans="1:48" s="61" customFormat="1" ht="40.5" hidden="1" x14ac:dyDescent="0.2">
      <c r="A28" s="32">
        <v>639</v>
      </c>
      <c r="B28" s="33" t="s">
        <v>185</v>
      </c>
      <c r="C28" s="64"/>
      <c r="D28" s="64"/>
      <c r="E28" s="67" t="s">
        <v>235</v>
      </c>
      <c r="F28" s="67"/>
      <c r="G28" s="67"/>
      <c r="H28" s="33" t="s">
        <v>187</v>
      </c>
      <c r="I28" s="39" t="s">
        <v>188</v>
      </c>
      <c r="J28" s="39"/>
      <c r="K28" s="39" t="s">
        <v>27</v>
      </c>
      <c r="L28" s="68" t="s">
        <v>236</v>
      </c>
      <c r="M28" s="69" t="s">
        <v>75</v>
      </c>
      <c r="N28" s="42" t="s">
        <v>76</v>
      </c>
      <c r="O28" s="46" t="s">
        <v>237</v>
      </c>
      <c r="P28" s="46" t="s">
        <v>238</v>
      </c>
      <c r="Q28" s="46" t="s">
        <v>239</v>
      </c>
      <c r="R28" s="33" t="s">
        <v>240</v>
      </c>
      <c r="S28" s="45">
        <f t="shared" si="0"/>
        <v>126152.33</v>
      </c>
      <c r="T28" s="45">
        <v>126152.33</v>
      </c>
      <c r="U28" s="45">
        <v>0</v>
      </c>
      <c r="V28" s="46" t="s">
        <v>241</v>
      </c>
      <c r="W28" s="47" t="s">
        <v>194</v>
      </c>
      <c r="X28" s="48"/>
      <c r="Y28" s="46"/>
      <c r="Z28" s="45"/>
      <c r="AA28" s="45"/>
      <c r="AB28" s="45">
        <f t="shared" ref="AB28:AB40" si="12">Z28-AA28</f>
        <v>0</v>
      </c>
      <c r="AC28" s="48"/>
      <c r="AD28" s="63"/>
      <c r="AE28" s="51">
        <f t="shared" si="2"/>
        <v>0</v>
      </c>
      <c r="AF28" s="52">
        <f t="shared" si="10"/>
        <v>11235.210000000006</v>
      </c>
      <c r="AG28" s="52">
        <v>114917.12</v>
      </c>
      <c r="AH28" s="52">
        <f>34475.14+80441.98</f>
        <v>114917.12</v>
      </c>
      <c r="AI28" s="53">
        <f t="shared" si="3"/>
        <v>0</v>
      </c>
      <c r="AJ28" s="54">
        <v>0</v>
      </c>
      <c r="AK28" s="55">
        <v>0</v>
      </c>
      <c r="AL28" s="53">
        <f t="shared" ref="AL28:AL42" si="13">+AJ28-AK28</f>
        <v>0</v>
      </c>
      <c r="AM28" s="52">
        <f t="shared" si="5"/>
        <v>114917.12</v>
      </c>
      <c r="AN28" s="51">
        <f t="shared" si="6"/>
        <v>114917.12</v>
      </c>
      <c r="AO28" s="56">
        <f t="shared" si="7"/>
        <v>0</v>
      </c>
      <c r="AP28" s="57" t="s">
        <v>146</v>
      </c>
      <c r="AQ28" s="51">
        <v>29719.95</v>
      </c>
      <c r="AR28" s="51">
        <v>29719.95</v>
      </c>
      <c r="AS28" s="56">
        <f t="shared" ref="AS28:AS73" si="14">SUM(AQ28-AR28)</f>
        <v>0</v>
      </c>
      <c r="AT28" s="58">
        <f t="shared" si="9"/>
        <v>11235.210000000006</v>
      </c>
      <c r="AU28" s="60"/>
      <c r="AV28" s="59"/>
    </row>
    <row r="29" spans="1:48" s="61" customFormat="1" ht="33" hidden="1" x14ac:dyDescent="0.2">
      <c r="A29" s="32">
        <v>639</v>
      </c>
      <c r="B29" s="33" t="s">
        <v>185</v>
      </c>
      <c r="C29" s="64"/>
      <c r="D29" s="64"/>
      <c r="E29" s="67" t="s">
        <v>235</v>
      </c>
      <c r="F29" s="67"/>
      <c r="G29" s="67"/>
      <c r="H29" s="33" t="s">
        <v>187</v>
      </c>
      <c r="I29" s="39" t="s">
        <v>188</v>
      </c>
      <c r="J29" s="39"/>
      <c r="K29" s="39" t="s">
        <v>27</v>
      </c>
      <c r="L29" s="68" t="s">
        <v>242</v>
      </c>
      <c r="M29" s="69" t="s">
        <v>75</v>
      </c>
      <c r="N29" s="42" t="s">
        <v>76</v>
      </c>
      <c r="O29" s="46" t="s">
        <v>237</v>
      </c>
      <c r="P29" s="46" t="s">
        <v>238</v>
      </c>
      <c r="Q29" s="46" t="s">
        <v>239</v>
      </c>
      <c r="R29" s="33" t="s">
        <v>240</v>
      </c>
      <c r="S29" s="45">
        <f t="shared" si="0"/>
        <v>52446.879999999997</v>
      </c>
      <c r="T29" s="45">
        <v>52446.879999999997</v>
      </c>
      <c r="U29" s="45">
        <v>0</v>
      </c>
      <c r="V29" s="46" t="s">
        <v>241</v>
      </c>
      <c r="W29" s="47" t="s">
        <v>194</v>
      </c>
      <c r="X29" s="48"/>
      <c r="Y29" s="46"/>
      <c r="Z29" s="45"/>
      <c r="AA29" s="45"/>
      <c r="AB29" s="45">
        <f t="shared" si="12"/>
        <v>0</v>
      </c>
      <c r="AC29" s="48"/>
      <c r="AD29" s="63"/>
      <c r="AE29" s="51">
        <f t="shared" si="2"/>
        <v>0</v>
      </c>
      <c r="AF29" s="52">
        <f t="shared" si="10"/>
        <v>4670.9599999999991</v>
      </c>
      <c r="AG29" s="52">
        <v>47775.92</v>
      </c>
      <c r="AH29" s="52">
        <f>14332.78+33443.14</f>
        <v>47775.92</v>
      </c>
      <c r="AI29" s="53">
        <f t="shared" si="3"/>
        <v>0</v>
      </c>
      <c r="AJ29" s="54">
        <v>0</v>
      </c>
      <c r="AK29" s="55">
        <v>0</v>
      </c>
      <c r="AL29" s="53">
        <f t="shared" si="13"/>
        <v>0</v>
      </c>
      <c r="AM29" s="52">
        <f t="shared" si="5"/>
        <v>47775.92</v>
      </c>
      <c r="AN29" s="51">
        <f t="shared" si="6"/>
        <v>47775.92</v>
      </c>
      <c r="AO29" s="56">
        <f t="shared" si="7"/>
        <v>0</v>
      </c>
      <c r="AP29" s="57" t="s">
        <v>146</v>
      </c>
      <c r="AQ29" s="51">
        <v>12355.84</v>
      </c>
      <c r="AR29" s="51">
        <v>12355.84</v>
      </c>
      <c r="AS29" s="56">
        <f t="shared" si="14"/>
        <v>0</v>
      </c>
      <c r="AT29" s="58">
        <f t="shared" si="9"/>
        <v>4670.9599999999991</v>
      </c>
      <c r="AU29" s="60"/>
      <c r="AV29" s="59"/>
    </row>
    <row r="30" spans="1:48" s="61" customFormat="1" ht="18" hidden="1" customHeight="1" x14ac:dyDescent="0.2">
      <c r="A30" s="32">
        <v>636</v>
      </c>
      <c r="B30" s="33" t="s">
        <v>248</v>
      </c>
      <c r="C30" s="34"/>
      <c r="D30" s="35">
        <v>154</v>
      </c>
      <c r="E30" s="36" t="s">
        <v>249</v>
      </c>
      <c r="F30" s="36"/>
      <c r="G30" s="36"/>
      <c r="H30" s="33"/>
      <c r="I30" s="38" t="s">
        <v>95</v>
      </c>
      <c r="J30" s="38"/>
      <c r="K30" s="39">
        <v>1</v>
      </c>
      <c r="L30" s="40" t="s">
        <v>137</v>
      </c>
      <c r="M30" s="41" t="s">
        <v>250</v>
      </c>
      <c r="N30" s="42" t="s">
        <v>251</v>
      </c>
      <c r="O30" s="46" t="s">
        <v>252</v>
      </c>
      <c r="P30" s="41" t="s">
        <v>98</v>
      </c>
      <c r="Q30" s="44" t="s">
        <v>253</v>
      </c>
      <c r="R30" s="33" t="s">
        <v>100</v>
      </c>
      <c r="S30" s="45">
        <f t="shared" si="0"/>
        <v>2000000</v>
      </c>
      <c r="T30" s="45">
        <v>2000000</v>
      </c>
      <c r="U30" s="45">
        <v>0</v>
      </c>
      <c r="V30" s="46" t="s">
        <v>254</v>
      </c>
      <c r="W30" s="47" t="s">
        <v>255</v>
      </c>
      <c r="X30" s="48"/>
      <c r="Y30" s="44" t="s">
        <v>234</v>
      </c>
      <c r="Z30" s="45"/>
      <c r="AA30" s="45"/>
      <c r="AB30" s="45">
        <f t="shared" si="12"/>
        <v>0</v>
      </c>
      <c r="AC30" s="48"/>
      <c r="AD30" s="63"/>
      <c r="AE30" s="51">
        <f t="shared" si="2"/>
        <v>0</v>
      </c>
      <c r="AF30" s="52">
        <f t="shared" si="10"/>
        <v>0</v>
      </c>
      <c r="AG30" s="52">
        <v>2000000</v>
      </c>
      <c r="AH30" s="52">
        <f>1848511.85+24365.02+27843.48+48000+24000+22660</f>
        <v>1995380.35</v>
      </c>
      <c r="AI30" s="53">
        <f t="shared" ref="AI30:AI52" si="15">SUM(AG30-AH30)</f>
        <v>4619.6499999999069</v>
      </c>
      <c r="AJ30" s="54">
        <v>0</v>
      </c>
      <c r="AK30" s="55">
        <v>0</v>
      </c>
      <c r="AL30" s="53">
        <f t="shared" si="13"/>
        <v>0</v>
      </c>
      <c r="AM30" s="52">
        <f t="shared" ref="AM30:AM42" si="16">SUM(AG30+Z30)+AJ30</f>
        <v>2000000</v>
      </c>
      <c r="AN30" s="51">
        <f t="shared" ref="AN30:AN42" si="17">SUM(AA30+AH30)+AK30</f>
        <v>1995380.35</v>
      </c>
      <c r="AO30" s="56">
        <f t="shared" si="7"/>
        <v>4619.6499999999069</v>
      </c>
      <c r="AP30" s="57"/>
      <c r="AQ30" s="52"/>
      <c r="AR30" s="51"/>
      <c r="AS30" s="56">
        <f t="shared" si="14"/>
        <v>0</v>
      </c>
      <c r="AT30" s="56">
        <f t="shared" si="9"/>
        <v>4619.6499999999069</v>
      </c>
      <c r="AU30" s="60"/>
      <c r="AV30" s="59"/>
    </row>
    <row r="31" spans="1:48" s="61" customFormat="1" ht="16.5" hidden="1" customHeight="1" x14ac:dyDescent="0.2">
      <c r="A31" s="32">
        <v>636</v>
      </c>
      <c r="B31" s="33" t="s">
        <v>256</v>
      </c>
      <c r="C31" s="34"/>
      <c r="D31" s="35">
        <v>165</v>
      </c>
      <c r="E31" s="36" t="s">
        <v>257</v>
      </c>
      <c r="F31" s="36"/>
      <c r="G31" s="36" t="s">
        <v>243</v>
      </c>
      <c r="H31" s="33" t="s">
        <v>60</v>
      </c>
      <c r="I31" s="38">
        <v>6122</v>
      </c>
      <c r="J31" s="38"/>
      <c r="K31" s="39">
        <v>2</v>
      </c>
      <c r="L31" s="40" t="s">
        <v>61</v>
      </c>
      <c r="M31" s="41" t="s">
        <v>75</v>
      </c>
      <c r="N31" s="42" t="s">
        <v>76</v>
      </c>
      <c r="O31" s="41" t="s">
        <v>258</v>
      </c>
      <c r="P31" s="44" t="s">
        <v>245</v>
      </c>
      <c r="Q31" s="44" t="s">
        <v>259</v>
      </c>
      <c r="R31" s="33" t="s">
        <v>260</v>
      </c>
      <c r="S31" s="45">
        <f t="shared" si="0"/>
        <v>915680.23</v>
      </c>
      <c r="T31" s="45">
        <v>900160.23</v>
      </c>
      <c r="U31" s="45">
        <v>15520</v>
      </c>
      <c r="V31" s="46" t="s">
        <v>261</v>
      </c>
      <c r="W31" s="63">
        <v>41779</v>
      </c>
      <c r="X31" s="48"/>
      <c r="Y31" s="109" t="s">
        <v>246</v>
      </c>
      <c r="Z31" s="45">
        <v>15096.16</v>
      </c>
      <c r="AA31" s="45">
        <f>5471.7+9028.3</f>
        <v>14500</v>
      </c>
      <c r="AB31" s="45">
        <f t="shared" si="12"/>
        <v>596.15999999999985</v>
      </c>
      <c r="AC31" s="48"/>
      <c r="AD31" s="63"/>
      <c r="AE31" s="51">
        <f t="shared" si="2"/>
        <v>423.84000000000015</v>
      </c>
      <c r="AF31" s="52">
        <f t="shared" si="10"/>
        <v>24582.949999999953</v>
      </c>
      <c r="AG31" s="52">
        <v>875577.28</v>
      </c>
      <c r="AH31" s="52">
        <f>262673.18+509825.95+103078.15</f>
        <v>875577.28</v>
      </c>
      <c r="AI31" s="53">
        <f t="shared" si="15"/>
        <v>0</v>
      </c>
      <c r="AJ31" s="54">
        <v>0</v>
      </c>
      <c r="AK31" s="55">
        <v>0</v>
      </c>
      <c r="AL31" s="53">
        <f t="shared" si="13"/>
        <v>0</v>
      </c>
      <c r="AM31" s="52">
        <f t="shared" si="16"/>
        <v>890673.44000000006</v>
      </c>
      <c r="AN31" s="51">
        <f t="shared" si="17"/>
        <v>890077.28</v>
      </c>
      <c r="AO31" s="56">
        <f t="shared" si="7"/>
        <v>596.1600000000326</v>
      </c>
      <c r="AP31" s="57"/>
      <c r="AQ31" s="52">
        <v>226442.4</v>
      </c>
      <c r="AR31" s="51">
        <f>188359.34+38083.06</f>
        <v>226442.4</v>
      </c>
      <c r="AS31" s="56">
        <f t="shared" si="14"/>
        <v>0</v>
      </c>
      <c r="AT31" s="58">
        <f t="shared" si="9"/>
        <v>25602.949999999953</v>
      </c>
      <c r="AU31" s="60"/>
      <c r="AV31" s="59"/>
    </row>
    <row r="32" spans="1:48" s="61" customFormat="1" ht="25.15" hidden="1" customHeight="1" x14ac:dyDescent="0.2">
      <c r="A32" s="32">
        <v>636</v>
      </c>
      <c r="B32" s="33" t="s">
        <v>263</v>
      </c>
      <c r="C32" s="34"/>
      <c r="D32" s="35"/>
      <c r="E32" s="36" t="s">
        <v>264</v>
      </c>
      <c r="F32" s="37" t="s">
        <v>59</v>
      </c>
      <c r="G32" s="36" t="s">
        <v>103</v>
      </c>
      <c r="H32" s="33" t="s">
        <v>60</v>
      </c>
      <c r="I32" s="38">
        <v>6142</v>
      </c>
      <c r="J32" s="38"/>
      <c r="K32" s="39">
        <v>2</v>
      </c>
      <c r="L32" s="40" t="s">
        <v>61</v>
      </c>
      <c r="M32" s="41" t="s">
        <v>108</v>
      </c>
      <c r="N32" s="42" t="s">
        <v>76</v>
      </c>
      <c r="O32" s="62" t="s">
        <v>265</v>
      </c>
      <c r="P32" s="44" t="s">
        <v>104</v>
      </c>
      <c r="Q32" s="44" t="s">
        <v>266</v>
      </c>
      <c r="R32" s="33" t="s">
        <v>267</v>
      </c>
      <c r="S32" s="45">
        <f t="shared" si="0"/>
        <v>1715087.0799999998</v>
      </c>
      <c r="T32" s="45">
        <f>1971853.94-285547.34</f>
        <v>1686306.5999999999</v>
      </c>
      <c r="U32" s="45">
        <f>33997.48-5217</f>
        <v>28780.480000000003</v>
      </c>
      <c r="V32" s="46" t="s">
        <v>268</v>
      </c>
      <c r="W32" s="47" t="s">
        <v>269</v>
      </c>
      <c r="X32" s="48"/>
      <c r="Y32" s="109" t="s">
        <v>246</v>
      </c>
      <c r="Z32" s="45">
        <f>29074.25-293.77</f>
        <v>28780.48</v>
      </c>
      <c r="AA32" s="45">
        <f>6948.4+6566.04+5800+6566.04+2900+290-290</f>
        <v>28780.48</v>
      </c>
      <c r="AB32" s="45">
        <f t="shared" si="12"/>
        <v>0</v>
      </c>
      <c r="AC32" s="48" t="s">
        <v>102</v>
      </c>
      <c r="AD32" s="63">
        <v>42062</v>
      </c>
      <c r="AE32" s="51">
        <f t="shared" si="2"/>
        <v>0</v>
      </c>
      <c r="AF32" s="52">
        <f t="shared" si="10"/>
        <v>-2.3283064365386963E-10</v>
      </c>
      <c r="AG32" s="52">
        <v>1686306.6</v>
      </c>
      <c r="AH32" s="52">
        <f>505891.98+631652.05+348243.61+200518.96</f>
        <v>1686306.6</v>
      </c>
      <c r="AI32" s="53">
        <f t="shared" si="15"/>
        <v>0</v>
      </c>
      <c r="AJ32" s="54">
        <v>0</v>
      </c>
      <c r="AK32" s="55">
        <v>0</v>
      </c>
      <c r="AL32" s="53">
        <f t="shared" si="13"/>
        <v>0</v>
      </c>
      <c r="AM32" s="52">
        <f t="shared" si="16"/>
        <v>1715087.08</v>
      </c>
      <c r="AN32" s="51">
        <f t="shared" si="17"/>
        <v>1715087.08</v>
      </c>
      <c r="AO32" s="56">
        <f t="shared" si="7"/>
        <v>0</v>
      </c>
      <c r="AP32" s="57" t="s">
        <v>83</v>
      </c>
      <c r="AQ32" s="52">
        <v>436113.78</v>
      </c>
      <c r="AR32" s="51">
        <f>233368.98+128661.43+74083.37</f>
        <v>436113.78</v>
      </c>
      <c r="AS32" s="56">
        <f t="shared" si="14"/>
        <v>0</v>
      </c>
      <c r="AT32" s="58">
        <f t="shared" si="9"/>
        <v>-2.3283064365386963E-10</v>
      </c>
      <c r="AU32" s="60"/>
      <c r="AV32" s="59"/>
    </row>
    <row r="33" spans="1:48" s="61" customFormat="1" ht="24.75" hidden="1" x14ac:dyDescent="0.2">
      <c r="A33" s="32">
        <v>636</v>
      </c>
      <c r="B33" s="105" t="s">
        <v>270</v>
      </c>
      <c r="C33" s="106"/>
      <c r="D33" s="107"/>
      <c r="E33" s="67" t="s">
        <v>271</v>
      </c>
      <c r="F33" s="37" t="s">
        <v>59</v>
      </c>
      <c r="G33" s="67" t="s">
        <v>103</v>
      </c>
      <c r="H33" s="33" t="s">
        <v>60</v>
      </c>
      <c r="I33" s="107">
        <v>6142</v>
      </c>
      <c r="J33" s="107"/>
      <c r="K33" s="39">
        <v>2</v>
      </c>
      <c r="L33" s="40" t="s">
        <v>61</v>
      </c>
      <c r="M33" s="41" t="s">
        <v>108</v>
      </c>
      <c r="N33" s="42" t="s">
        <v>76</v>
      </c>
      <c r="O33" s="62" t="s">
        <v>88</v>
      </c>
      <c r="P33" s="44" t="s">
        <v>104</v>
      </c>
      <c r="Q33" s="62" t="s">
        <v>272</v>
      </c>
      <c r="R33" s="33" t="s">
        <v>273</v>
      </c>
      <c r="S33" s="45">
        <f t="shared" si="0"/>
        <v>1340490.7400000002</v>
      </c>
      <c r="T33" s="45">
        <f>1572030.6-254137.98</f>
        <v>1317892.6200000001</v>
      </c>
      <c r="U33" s="45">
        <f>27103.98-4505.86</f>
        <v>22598.12</v>
      </c>
      <c r="V33" s="46" t="s">
        <v>274</v>
      </c>
      <c r="W33" s="47" t="s">
        <v>275</v>
      </c>
      <c r="X33" s="48"/>
      <c r="Y33" s="109" t="s">
        <v>27</v>
      </c>
      <c r="Z33" s="45">
        <f>22722.29-124.17</f>
        <v>22598.120000000003</v>
      </c>
      <c r="AA33" s="45">
        <f>6566.04+6566.04+6566.04+2900</f>
        <v>22598.12</v>
      </c>
      <c r="AB33" s="45">
        <f t="shared" si="12"/>
        <v>0</v>
      </c>
      <c r="AC33" s="48" t="s">
        <v>82</v>
      </c>
      <c r="AD33" s="63">
        <v>41838</v>
      </c>
      <c r="AE33" s="51">
        <f t="shared" si="2"/>
        <v>0</v>
      </c>
      <c r="AF33" s="52">
        <f t="shared" si="10"/>
        <v>0</v>
      </c>
      <c r="AG33" s="52">
        <v>1317892.6200000001</v>
      </c>
      <c r="AH33" s="52">
        <f>395367.79+482340.08+386948.66+53236.09</f>
        <v>1317892.6200000001</v>
      </c>
      <c r="AI33" s="52">
        <f t="shared" si="15"/>
        <v>0</v>
      </c>
      <c r="AJ33" s="54">
        <v>0</v>
      </c>
      <c r="AK33" s="55">
        <v>0</v>
      </c>
      <c r="AL33" s="53">
        <f t="shared" si="13"/>
        <v>0</v>
      </c>
      <c r="AM33" s="52">
        <f t="shared" si="16"/>
        <v>1340490.7400000002</v>
      </c>
      <c r="AN33" s="51">
        <f t="shared" si="17"/>
        <v>1340490.7400000002</v>
      </c>
      <c r="AO33" s="114">
        <f t="shared" si="7"/>
        <v>0</v>
      </c>
      <c r="AP33" s="57" t="s">
        <v>83</v>
      </c>
      <c r="AQ33" s="115">
        <v>340834.3</v>
      </c>
      <c r="AR33" s="75">
        <f>178204.46+142961.33+19668.51</f>
        <v>340834.3</v>
      </c>
      <c r="AS33" s="114">
        <f t="shared" si="14"/>
        <v>0</v>
      </c>
      <c r="AT33" s="58">
        <f t="shared" si="9"/>
        <v>0</v>
      </c>
      <c r="AU33" s="60"/>
      <c r="AV33" s="59"/>
    </row>
    <row r="34" spans="1:48" ht="24.75" hidden="1" x14ac:dyDescent="0.2">
      <c r="A34" s="32">
        <v>636</v>
      </c>
      <c r="B34" s="105" t="s">
        <v>276</v>
      </c>
      <c r="C34" s="106"/>
      <c r="D34" s="107"/>
      <c r="E34" s="67" t="s">
        <v>277</v>
      </c>
      <c r="F34" s="67"/>
      <c r="G34" s="67"/>
      <c r="H34" s="33"/>
      <c r="I34" s="107">
        <v>6122</v>
      </c>
      <c r="J34" s="116"/>
      <c r="K34" s="65">
        <v>1</v>
      </c>
      <c r="L34" s="40" t="s">
        <v>137</v>
      </c>
      <c r="M34" s="69" t="s">
        <v>278</v>
      </c>
      <c r="N34" s="62" t="s">
        <v>63</v>
      </c>
      <c r="O34" s="62" t="s">
        <v>279</v>
      </c>
      <c r="P34" s="46" t="s">
        <v>98</v>
      </c>
      <c r="Q34" s="62" t="s">
        <v>99</v>
      </c>
      <c r="R34" s="33" t="s">
        <v>280</v>
      </c>
      <c r="S34" s="45">
        <f t="shared" si="0"/>
        <v>2500707.6999999997</v>
      </c>
      <c r="T34" s="45">
        <v>2437664.65</v>
      </c>
      <c r="U34" s="45">
        <v>63043.05</v>
      </c>
      <c r="V34" s="46" t="s">
        <v>281</v>
      </c>
      <c r="W34" s="63">
        <v>41782</v>
      </c>
      <c r="X34" s="48"/>
      <c r="Y34" s="109" t="s">
        <v>282</v>
      </c>
      <c r="Z34" s="45">
        <v>63000.81</v>
      </c>
      <c r="AA34" s="45">
        <f>6380+13132.08+5800+6444.45+13132.08+6380+3886+6566.04+1280.16</f>
        <v>63000.810000000005</v>
      </c>
      <c r="AB34" s="45">
        <f t="shared" si="12"/>
        <v>0</v>
      </c>
      <c r="AC34" s="48" t="s">
        <v>93</v>
      </c>
      <c r="AD34" s="63">
        <v>41976</v>
      </c>
      <c r="AE34" s="51">
        <f t="shared" si="2"/>
        <v>42.240000000005239</v>
      </c>
      <c r="AF34" s="52">
        <f t="shared" si="10"/>
        <v>1633.3100000000559</v>
      </c>
      <c r="AG34" s="52">
        <v>2436031.34</v>
      </c>
      <c r="AH34" s="52">
        <v>2436031.34</v>
      </c>
      <c r="AI34" s="53">
        <f t="shared" si="15"/>
        <v>0</v>
      </c>
      <c r="AJ34" s="54">
        <v>0</v>
      </c>
      <c r="AK34" s="55">
        <v>0</v>
      </c>
      <c r="AL34" s="53">
        <f t="shared" si="13"/>
        <v>0</v>
      </c>
      <c r="AM34" s="52">
        <f t="shared" si="16"/>
        <v>2499032.15</v>
      </c>
      <c r="AN34" s="51">
        <f t="shared" si="17"/>
        <v>2499032.15</v>
      </c>
      <c r="AO34" s="56">
        <f t="shared" si="7"/>
        <v>0</v>
      </c>
      <c r="AP34" s="57" t="s">
        <v>283</v>
      </c>
      <c r="AQ34" s="52"/>
      <c r="AR34" s="51"/>
      <c r="AS34" s="56">
        <f t="shared" si="14"/>
        <v>0</v>
      </c>
      <c r="AT34" s="56">
        <f t="shared" si="9"/>
        <v>1675.5499999998137</v>
      </c>
      <c r="AU34" s="48"/>
      <c r="AV34" s="46"/>
    </row>
    <row r="35" spans="1:48" ht="45.75" hidden="1" customHeight="1" x14ac:dyDescent="0.2">
      <c r="A35" s="64">
        <v>6411</v>
      </c>
      <c r="B35" s="33" t="s">
        <v>285</v>
      </c>
      <c r="C35" s="39"/>
      <c r="D35" s="39"/>
      <c r="E35" s="67" t="s">
        <v>286</v>
      </c>
      <c r="F35" s="37" t="s">
        <v>59</v>
      </c>
      <c r="G35" s="67"/>
      <c r="H35" s="33"/>
      <c r="I35" s="107">
        <v>6000</v>
      </c>
      <c r="J35" s="107"/>
      <c r="K35" s="39">
        <v>3.3</v>
      </c>
      <c r="L35" s="40" t="s">
        <v>287</v>
      </c>
      <c r="M35" s="69" t="s">
        <v>138</v>
      </c>
      <c r="N35" s="117" t="s">
        <v>139</v>
      </c>
      <c r="O35" s="62" t="s">
        <v>288</v>
      </c>
      <c r="P35" s="48" t="s">
        <v>289</v>
      </c>
      <c r="Q35" s="62" t="s">
        <v>290</v>
      </c>
      <c r="R35" s="33" t="s">
        <v>291</v>
      </c>
      <c r="S35" s="45">
        <f t="shared" si="0"/>
        <v>1594727.96</v>
      </c>
      <c r="T35" s="45">
        <f>1641244.5-46516.54</f>
        <v>1594727.96</v>
      </c>
      <c r="U35" s="45">
        <v>0</v>
      </c>
      <c r="V35" s="46" t="s">
        <v>292</v>
      </c>
      <c r="W35" s="63">
        <v>41661</v>
      </c>
      <c r="X35" s="48"/>
      <c r="Y35" s="109" t="s">
        <v>234</v>
      </c>
      <c r="Z35" s="45"/>
      <c r="AA35" s="45"/>
      <c r="AB35" s="45">
        <f t="shared" si="12"/>
        <v>0</v>
      </c>
      <c r="AC35" s="48"/>
      <c r="AD35" s="63"/>
      <c r="AE35" s="51">
        <f t="shared" si="2"/>
        <v>0</v>
      </c>
      <c r="AF35" s="52">
        <f t="shared" si="10"/>
        <v>0</v>
      </c>
      <c r="AG35" s="52">
        <v>1594727.96</v>
      </c>
      <c r="AH35" s="52">
        <f>478418.38+640789.38+395250.13</f>
        <v>1514457.8900000001</v>
      </c>
      <c r="AI35" s="53">
        <f t="shared" si="15"/>
        <v>80270.069999999832</v>
      </c>
      <c r="AJ35" s="54">
        <v>0</v>
      </c>
      <c r="AK35" s="55">
        <v>0</v>
      </c>
      <c r="AL35" s="53">
        <f t="shared" si="13"/>
        <v>0</v>
      </c>
      <c r="AM35" s="52">
        <f t="shared" si="16"/>
        <v>1594727.96</v>
      </c>
      <c r="AN35" s="51">
        <f t="shared" si="17"/>
        <v>1514457.8900000001</v>
      </c>
      <c r="AO35" s="56">
        <f t="shared" si="7"/>
        <v>80270.069999999832</v>
      </c>
      <c r="AP35" s="57" t="s">
        <v>293</v>
      </c>
      <c r="AQ35" s="52">
        <v>412429.64</v>
      </c>
      <c r="AR35" s="51">
        <f>236744.85+175684.79</f>
        <v>412429.64</v>
      </c>
      <c r="AS35" s="56">
        <f t="shared" si="14"/>
        <v>0</v>
      </c>
      <c r="AT35" s="58">
        <f t="shared" si="9"/>
        <v>80270.069999999832</v>
      </c>
      <c r="AU35" s="48" t="s">
        <v>294</v>
      </c>
      <c r="AV35" s="46"/>
    </row>
    <row r="36" spans="1:48" ht="24.75" hidden="1" x14ac:dyDescent="0.2">
      <c r="A36" s="32">
        <v>636</v>
      </c>
      <c r="B36" s="33" t="s">
        <v>295</v>
      </c>
      <c r="C36" s="39"/>
      <c r="D36" s="39"/>
      <c r="E36" s="67" t="s">
        <v>296</v>
      </c>
      <c r="F36" s="67"/>
      <c r="G36" s="67"/>
      <c r="H36" s="33"/>
      <c r="I36" s="107">
        <v>6120</v>
      </c>
      <c r="J36" s="107"/>
      <c r="K36" s="39" t="s">
        <v>27</v>
      </c>
      <c r="L36" s="118" t="s">
        <v>297</v>
      </c>
      <c r="M36" s="69" t="s">
        <v>298</v>
      </c>
      <c r="N36" s="42" t="s">
        <v>76</v>
      </c>
      <c r="O36" s="62"/>
      <c r="P36" s="48" t="s">
        <v>299</v>
      </c>
      <c r="Q36" s="62" t="s">
        <v>300</v>
      </c>
      <c r="R36" s="33"/>
      <c r="S36" s="45">
        <f t="shared" si="0"/>
        <v>1111428.5</v>
      </c>
      <c r="T36" s="45">
        <v>1083409.29</v>
      </c>
      <c r="U36" s="45">
        <v>28019.21</v>
      </c>
      <c r="V36" s="46" t="s">
        <v>169</v>
      </c>
      <c r="W36" s="63"/>
      <c r="X36" s="48"/>
      <c r="Y36" s="109" t="s">
        <v>282</v>
      </c>
      <c r="Z36" s="45"/>
      <c r="AA36" s="45"/>
      <c r="AB36" s="45">
        <f t="shared" si="12"/>
        <v>0</v>
      </c>
      <c r="AC36" s="48"/>
      <c r="AD36" s="63"/>
      <c r="AE36" s="51">
        <f t="shared" si="2"/>
        <v>28019.21</v>
      </c>
      <c r="AF36" s="52">
        <f t="shared" si="10"/>
        <v>1083409.29</v>
      </c>
      <c r="AG36" s="52"/>
      <c r="AH36" s="52"/>
      <c r="AI36" s="53">
        <f t="shared" si="15"/>
        <v>0</v>
      </c>
      <c r="AJ36" s="54">
        <v>0</v>
      </c>
      <c r="AK36" s="55">
        <v>0</v>
      </c>
      <c r="AL36" s="53">
        <f t="shared" si="13"/>
        <v>0</v>
      </c>
      <c r="AM36" s="52">
        <f t="shared" si="16"/>
        <v>0</v>
      </c>
      <c r="AN36" s="51">
        <f t="shared" si="17"/>
        <v>0</v>
      </c>
      <c r="AO36" s="56">
        <f t="shared" si="7"/>
        <v>0</v>
      </c>
      <c r="AP36" s="78"/>
      <c r="AQ36" s="79"/>
      <c r="AR36" s="80"/>
      <c r="AS36" s="56">
        <f t="shared" si="14"/>
        <v>0</v>
      </c>
      <c r="AT36" s="56">
        <f t="shared" si="9"/>
        <v>1111428.5</v>
      </c>
      <c r="AU36" s="48"/>
      <c r="AV36" s="46"/>
    </row>
    <row r="37" spans="1:48" ht="49.5" hidden="1" x14ac:dyDescent="0.2">
      <c r="A37" s="32">
        <v>636</v>
      </c>
      <c r="B37" s="33" t="s">
        <v>295</v>
      </c>
      <c r="C37" s="39"/>
      <c r="D37" s="39"/>
      <c r="E37" s="67" t="s">
        <v>301</v>
      </c>
      <c r="F37" s="67"/>
      <c r="G37" s="67"/>
      <c r="H37" s="33"/>
      <c r="I37" s="107">
        <v>6220</v>
      </c>
      <c r="J37" s="107"/>
      <c r="K37" s="39" t="s">
        <v>27</v>
      </c>
      <c r="L37" s="118" t="s">
        <v>297</v>
      </c>
      <c r="M37" s="69" t="s">
        <v>302</v>
      </c>
      <c r="N37" s="42" t="s">
        <v>76</v>
      </c>
      <c r="O37" s="62"/>
      <c r="P37" s="48" t="s">
        <v>303</v>
      </c>
      <c r="Q37" s="62" t="s">
        <v>304</v>
      </c>
      <c r="R37" s="33"/>
      <c r="S37" s="45">
        <f t="shared" si="0"/>
        <v>1595429.5</v>
      </c>
      <c r="T37" s="45">
        <v>1555208.59</v>
      </c>
      <c r="U37" s="45">
        <v>40220.910000000003</v>
      </c>
      <c r="V37" s="46" t="s">
        <v>169</v>
      </c>
      <c r="W37" s="63"/>
      <c r="X37" s="48"/>
      <c r="Y37" s="109" t="s">
        <v>282</v>
      </c>
      <c r="Z37" s="45"/>
      <c r="AA37" s="45"/>
      <c r="AB37" s="45">
        <f t="shared" si="12"/>
        <v>0</v>
      </c>
      <c r="AC37" s="48"/>
      <c r="AD37" s="63"/>
      <c r="AE37" s="51">
        <f t="shared" si="2"/>
        <v>40220.910000000003</v>
      </c>
      <c r="AF37" s="52">
        <f t="shared" si="10"/>
        <v>1555208.59</v>
      </c>
      <c r="AG37" s="52"/>
      <c r="AH37" s="52"/>
      <c r="AI37" s="53">
        <f t="shared" si="15"/>
        <v>0</v>
      </c>
      <c r="AJ37" s="54">
        <v>0</v>
      </c>
      <c r="AK37" s="55">
        <v>0</v>
      </c>
      <c r="AL37" s="53">
        <f t="shared" si="13"/>
        <v>0</v>
      </c>
      <c r="AM37" s="52">
        <f t="shared" si="16"/>
        <v>0</v>
      </c>
      <c r="AN37" s="51">
        <f t="shared" si="17"/>
        <v>0</v>
      </c>
      <c r="AO37" s="56">
        <f t="shared" si="7"/>
        <v>0</v>
      </c>
      <c r="AP37" s="78"/>
      <c r="AQ37" s="79"/>
      <c r="AR37" s="80"/>
      <c r="AS37" s="56">
        <f t="shared" si="14"/>
        <v>0</v>
      </c>
      <c r="AT37" s="56">
        <f t="shared" si="9"/>
        <v>1595429.5</v>
      </c>
      <c r="AU37" s="48"/>
      <c r="AV37" s="46"/>
    </row>
    <row r="38" spans="1:48" ht="33" hidden="1" x14ac:dyDescent="0.2">
      <c r="A38" s="32">
        <v>636</v>
      </c>
      <c r="B38" s="33" t="s">
        <v>152</v>
      </c>
      <c r="C38" s="39"/>
      <c r="D38" s="39"/>
      <c r="E38" s="67" t="s">
        <v>305</v>
      </c>
      <c r="F38" s="67"/>
      <c r="G38" s="67"/>
      <c r="H38" s="33"/>
      <c r="I38" s="107">
        <v>6200</v>
      </c>
      <c r="J38" s="107"/>
      <c r="K38" s="39" t="s">
        <v>27</v>
      </c>
      <c r="L38" s="40" t="s">
        <v>306</v>
      </c>
      <c r="M38" s="69" t="s">
        <v>250</v>
      </c>
      <c r="N38" s="42" t="s">
        <v>76</v>
      </c>
      <c r="O38" s="62"/>
      <c r="P38" s="48" t="s">
        <v>65</v>
      </c>
      <c r="Q38" s="62" t="s">
        <v>307</v>
      </c>
      <c r="R38" s="33" t="s">
        <v>308</v>
      </c>
      <c r="S38" s="45">
        <f t="shared" si="0"/>
        <v>825000</v>
      </c>
      <c r="T38" s="45">
        <v>811016.95</v>
      </c>
      <c r="U38" s="45">
        <v>13983.05</v>
      </c>
      <c r="V38" s="46" t="s">
        <v>309</v>
      </c>
      <c r="W38" s="63">
        <v>41731</v>
      </c>
      <c r="X38" s="48"/>
      <c r="Y38" s="109" t="s">
        <v>246</v>
      </c>
      <c r="Z38" s="45">
        <v>13491.32</v>
      </c>
      <c r="AA38" s="45"/>
      <c r="AB38" s="45">
        <f t="shared" si="12"/>
        <v>13491.32</v>
      </c>
      <c r="AC38" s="48"/>
      <c r="AD38" s="63"/>
      <c r="AE38" s="51">
        <f t="shared" si="2"/>
        <v>491.72999999999956</v>
      </c>
      <c r="AF38" s="52">
        <f t="shared" si="10"/>
        <v>28520.669999999925</v>
      </c>
      <c r="AG38" s="52">
        <v>782496.28</v>
      </c>
      <c r="AH38" s="52">
        <f>391248.14+116114.67+168933.46+64467.86+37504.62</f>
        <v>778268.75</v>
      </c>
      <c r="AI38" s="53">
        <f t="shared" si="15"/>
        <v>4227.5300000000279</v>
      </c>
      <c r="AJ38" s="54">
        <v>0</v>
      </c>
      <c r="AK38" s="55">
        <v>0</v>
      </c>
      <c r="AL38" s="53">
        <f t="shared" si="13"/>
        <v>0</v>
      </c>
      <c r="AM38" s="52">
        <f t="shared" si="16"/>
        <v>795987.6</v>
      </c>
      <c r="AN38" s="51">
        <f t="shared" si="17"/>
        <v>778268.75</v>
      </c>
      <c r="AO38" s="56">
        <f t="shared" si="7"/>
        <v>17718.849999999977</v>
      </c>
      <c r="AP38" s="57" t="s">
        <v>83</v>
      </c>
      <c r="AQ38" s="52">
        <v>337282.88</v>
      </c>
      <c r="AR38" s="51">
        <f>100098.86+145632.3+55575.74+35975.98</f>
        <v>337282.87999999995</v>
      </c>
      <c r="AS38" s="56">
        <f t="shared" si="14"/>
        <v>5.8207660913467407E-11</v>
      </c>
      <c r="AT38" s="58">
        <f t="shared" si="9"/>
        <v>46731.25</v>
      </c>
      <c r="AU38" s="48"/>
      <c r="AV38" s="46"/>
    </row>
    <row r="39" spans="1:48" ht="47.25" hidden="1" x14ac:dyDescent="0.2">
      <c r="A39" s="32">
        <v>639</v>
      </c>
      <c r="B39" s="259" t="s">
        <v>310</v>
      </c>
      <c r="C39" s="107"/>
      <c r="D39" s="107">
        <v>153</v>
      </c>
      <c r="E39" s="253" t="s">
        <v>311</v>
      </c>
      <c r="F39" s="82"/>
      <c r="G39" s="82"/>
      <c r="H39" s="33" t="s">
        <v>312</v>
      </c>
      <c r="I39" s="262">
        <v>6222</v>
      </c>
      <c r="J39" s="119"/>
      <c r="K39" s="39"/>
      <c r="L39" s="40" t="s">
        <v>313</v>
      </c>
      <c r="M39" s="69" t="s">
        <v>75</v>
      </c>
      <c r="N39" s="42" t="s">
        <v>76</v>
      </c>
      <c r="O39" s="62" t="s">
        <v>314</v>
      </c>
      <c r="P39" s="48" t="s">
        <v>206</v>
      </c>
      <c r="Q39" s="62" t="s">
        <v>315</v>
      </c>
      <c r="R39" s="256" t="s">
        <v>316</v>
      </c>
      <c r="S39" s="45">
        <f t="shared" si="0"/>
        <v>7006230</v>
      </c>
      <c r="T39" s="45">
        <v>7006230</v>
      </c>
      <c r="U39" s="45">
        <v>0</v>
      </c>
      <c r="V39" s="46" t="s">
        <v>317</v>
      </c>
      <c r="W39" s="63">
        <v>41775</v>
      </c>
      <c r="X39" s="48"/>
      <c r="Y39" s="109"/>
      <c r="Z39" s="45"/>
      <c r="AA39" s="45"/>
      <c r="AB39" s="45">
        <f t="shared" si="12"/>
        <v>0</v>
      </c>
      <c r="AC39" s="48"/>
      <c r="AD39" s="63"/>
      <c r="AE39" s="51">
        <f t="shared" si="2"/>
        <v>0</v>
      </c>
      <c r="AF39" s="52">
        <f t="shared" si="10"/>
        <v>25242.919999999925</v>
      </c>
      <c r="AG39" s="52">
        <v>6980987.0800000001</v>
      </c>
      <c r="AH39" s="52">
        <f>2094296.12+465819.17+405532.25+811531.07+341652.64+703389.87+343080.17+397422.91+588560.76+181275.9</f>
        <v>6332560.8600000003</v>
      </c>
      <c r="AI39" s="52">
        <f t="shared" si="15"/>
        <v>648426.21999999974</v>
      </c>
      <c r="AJ39" s="54">
        <v>0</v>
      </c>
      <c r="AK39" s="55">
        <v>0</v>
      </c>
      <c r="AL39" s="53">
        <f t="shared" si="13"/>
        <v>0</v>
      </c>
      <c r="AM39" s="52">
        <f t="shared" si="16"/>
        <v>6980987.0800000001</v>
      </c>
      <c r="AN39" s="51">
        <f t="shared" si="17"/>
        <v>6332560.8600000003</v>
      </c>
      <c r="AO39" s="56">
        <f t="shared" si="7"/>
        <v>648426.21999999974</v>
      </c>
      <c r="AP39" s="57" t="s">
        <v>318</v>
      </c>
      <c r="AQ39" s="52">
        <v>1805427.69</v>
      </c>
      <c r="AR39" s="51">
        <f>172100.68+149827.19+299826.75+126226.35+259873.11+217448.57+66973.86</f>
        <v>1292276.51</v>
      </c>
      <c r="AS39" s="56">
        <f t="shared" si="14"/>
        <v>513151.17999999993</v>
      </c>
      <c r="AT39" s="56">
        <f t="shared" si="9"/>
        <v>673669.13999999966</v>
      </c>
      <c r="AU39" s="48"/>
      <c r="AV39" s="46"/>
    </row>
    <row r="40" spans="1:48" ht="24.75" hidden="1" x14ac:dyDescent="0.2">
      <c r="A40" s="32">
        <v>639</v>
      </c>
      <c r="B40" s="260"/>
      <c r="C40" s="107"/>
      <c r="D40" s="107">
        <v>255</v>
      </c>
      <c r="E40" s="254"/>
      <c r="F40" s="84"/>
      <c r="G40" s="84"/>
      <c r="H40" s="33"/>
      <c r="I40" s="263"/>
      <c r="J40" s="120"/>
      <c r="K40" s="39">
        <v>1</v>
      </c>
      <c r="L40" s="40" t="s">
        <v>137</v>
      </c>
      <c r="M40" s="69" t="s">
        <v>75</v>
      </c>
      <c r="N40" s="42" t="s">
        <v>76</v>
      </c>
      <c r="O40" s="62" t="s">
        <v>314</v>
      </c>
      <c r="P40" s="48" t="s">
        <v>206</v>
      </c>
      <c r="Q40" s="62" t="s">
        <v>315</v>
      </c>
      <c r="R40" s="257"/>
      <c r="S40" s="45">
        <f t="shared" si="0"/>
        <v>3000000</v>
      </c>
      <c r="T40" s="45">
        <v>2924369.75</v>
      </c>
      <c r="U40" s="45">
        <v>75630.25</v>
      </c>
      <c r="V40" s="46" t="s">
        <v>317</v>
      </c>
      <c r="W40" s="63">
        <v>41775</v>
      </c>
      <c r="X40" s="48"/>
      <c r="Y40" s="109"/>
      <c r="Z40" s="45">
        <v>75357.759999999995</v>
      </c>
      <c r="AA40" s="45">
        <f>40582.6+5220+6000+10000+10000</f>
        <v>71802.600000000006</v>
      </c>
      <c r="AB40" s="45">
        <f t="shared" si="12"/>
        <v>3555.1599999999889</v>
      </c>
      <c r="AC40" s="48" t="s">
        <v>93</v>
      </c>
      <c r="AD40" s="63">
        <v>41955</v>
      </c>
      <c r="AE40" s="51">
        <f t="shared" si="2"/>
        <v>272.49000000000524</v>
      </c>
      <c r="AF40" s="52">
        <f t="shared" si="10"/>
        <v>10536.279999999795</v>
      </c>
      <c r="AG40" s="52">
        <v>2913833.47</v>
      </c>
      <c r="AH40" s="52">
        <f>874150.04+194430.9+169267.41+338729.53+142604.33+293591.86+143200.17+165882.6+245662.7+75663.79</f>
        <v>2643183.33</v>
      </c>
      <c r="AI40" s="52">
        <f t="shared" si="15"/>
        <v>270650.14000000013</v>
      </c>
      <c r="AJ40" s="54">
        <v>0</v>
      </c>
      <c r="AK40" s="55">
        <v>0</v>
      </c>
      <c r="AL40" s="53">
        <f t="shared" si="13"/>
        <v>0</v>
      </c>
      <c r="AM40" s="52">
        <f t="shared" si="16"/>
        <v>2989191.23</v>
      </c>
      <c r="AN40" s="51">
        <f t="shared" si="17"/>
        <v>2714985.93</v>
      </c>
      <c r="AO40" s="56">
        <f t="shared" si="7"/>
        <v>274205.29999999981</v>
      </c>
      <c r="AP40" s="57" t="s">
        <v>318</v>
      </c>
      <c r="AQ40" s="52">
        <v>753577.62</v>
      </c>
      <c r="AR40" s="51">
        <f>71834.07+62537.21+125146.38+52686.33+108469.9+52906.47+61286.66+90762.07+27954.59</f>
        <v>653583.68000000005</v>
      </c>
      <c r="AS40" s="56">
        <f t="shared" si="14"/>
        <v>99993.939999999944</v>
      </c>
      <c r="AT40" s="56">
        <f t="shared" si="9"/>
        <v>285014.06999999983</v>
      </c>
      <c r="AU40" s="48"/>
      <c r="AV40" s="46"/>
    </row>
    <row r="41" spans="1:48" ht="27" hidden="1" customHeight="1" x14ac:dyDescent="0.2">
      <c r="A41" s="32">
        <v>639</v>
      </c>
      <c r="B41" s="260"/>
      <c r="C41" s="107"/>
      <c r="D41" s="107">
        <v>253</v>
      </c>
      <c r="E41" s="254"/>
      <c r="F41" s="84"/>
      <c r="G41" s="84"/>
      <c r="H41" s="33" t="s">
        <v>319</v>
      </c>
      <c r="I41" s="263"/>
      <c r="J41" s="120"/>
      <c r="K41" s="39">
        <v>2.6</v>
      </c>
      <c r="L41" s="40" t="s">
        <v>320</v>
      </c>
      <c r="M41" s="69" t="s">
        <v>75</v>
      </c>
      <c r="N41" s="42" t="s">
        <v>76</v>
      </c>
      <c r="O41" s="62" t="s">
        <v>314</v>
      </c>
      <c r="P41" s="48" t="s">
        <v>206</v>
      </c>
      <c r="Q41" s="62" t="s">
        <v>315</v>
      </c>
      <c r="R41" s="257"/>
      <c r="S41" s="45">
        <f t="shared" si="0"/>
        <v>1926138.58</v>
      </c>
      <c r="T41" s="45">
        <v>1926138.58</v>
      </c>
      <c r="U41" s="45">
        <v>0</v>
      </c>
      <c r="V41" s="46" t="s">
        <v>317</v>
      </c>
      <c r="W41" s="63">
        <v>41775</v>
      </c>
      <c r="X41" s="48"/>
      <c r="Y41" s="109"/>
      <c r="Z41" s="45"/>
      <c r="AA41" s="45"/>
      <c r="AB41" s="45"/>
      <c r="AC41" s="48"/>
      <c r="AD41" s="63"/>
      <c r="AE41" s="51">
        <f t="shared" si="2"/>
        <v>0</v>
      </c>
      <c r="AF41" s="52">
        <f t="shared" si="10"/>
        <v>6939.7399999999907</v>
      </c>
      <c r="AG41" s="52">
        <v>1919198.84</v>
      </c>
      <c r="AH41" s="52">
        <f>575759.65+128062.06+111488.09+223104.47+93926.45+193374.52+94318.9+109258.71+161805.94+49836</f>
        <v>1740934.7899999998</v>
      </c>
      <c r="AI41" s="52">
        <f t="shared" si="15"/>
        <v>178264.05000000028</v>
      </c>
      <c r="AJ41" s="54">
        <v>0</v>
      </c>
      <c r="AK41" s="55">
        <v>0</v>
      </c>
      <c r="AL41" s="53">
        <f t="shared" si="13"/>
        <v>0</v>
      </c>
      <c r="AM41" s="52">
        <f t="shared" si="16"/>
        <v>1919198.84</v>
      </c>
      <c r="AN41" s="51">
        <f t="shared" si="17"/>
        <v>1740934.7899999998</v>
      </c>
      <c r="AO41" s="56">
        <f t="shared" si="7"/>
        <v>178264.05000000028</v>
      </c>
      <c r="AP41" s="57" t="s">
        <v>318</v>
      </c>
      <c r="AQ41" s="52">
        <v>496344.53</v>
      </c>
      <c r="AR41" s="51">
        <f>47313.57+41190.19+82427.76+34701.89+71443.79+34816.89+40366.52+59780.52+18412.32</f>
        <v>430453.45000000007</v>
      </c>
      <c r="AS41" s="56">
        <f t="shared" si="14"/>
        <v>65891.079999999958</v>
      </c>
      <c r="AT41" s="56">
        <f t="shared" si="9"/>
        <v>185203.79000000027</v>
      </c>
      <c r="AU41" s="48"/>
      <c r="AV41" s="46"/>
    </row>
    <row r="42" spans="1:48" ht="40.5" hidden="1" x14ac:dyDescent="0.2">
      <c r="A42" s="32">
        <v>639</v>
      </c>
      <c r="B42" s="261"/>
      <c r="C42" s="107"/>
      <c r="D42" s="107">
        <v>254</v>
      </c>
      <c r="E42" s="255"/>
      <c r="F42" s="36"/>
      <c r="G42" s="36"/>
      <c r="H42" s="33" t="s">
        <v>321</v>
      </c>
      <c r="I42" s="263"/>
      <c r="J42" s="120"/>
      <c r="K42" s="39"/>
      <c r="L42" s="40" t="s">
        <v>322</v>
      </c>
      <c r="M42" s="69" t="s">
        <v>75</v>
      </c>
      <c r="N42" s="42" t="s">
        <v>76</v>
      </c>
      <c r="O42" s="62" t="s">
        <v>314</v>
      </c>
      <c r="P42" s="48" t="s">
        <v>206</v>
      </c>
      <c r="Q42" s="62" t="s">
        <v>315</v>
      </c>
      <c r="R42" s="258"/>
      <c r="S42" s="45">
        <f t="shared" si="0"/>
        <v>363849.04</v>
      </c>
      <c r="T42" s="45">
        <v>363849.04</v>
      </c>
      <c r="U42" s="45">
        <v>0</v>
      </c>
      <c r="V42" s="46" t="s">
        <v>317</v>
      </c>
      <c r="W42" s="63">
        <v>41775</v>
      </c>
      <c r="X42" s="48"/>
      <c r="Y42" s="109"/>
      <c r="Z42" s="45"/>
      <c r="AA42" s="45"/>
      <c r="AB42" s="45"/>
      <c r="AC42" s="48"/>
      <c r="AD42" s="63"/>
      <c r="AE42" s="51">
        <f t="shared" si="2"/>
        <v>0</v>
      </c>
      <c r="AF42" s="52">
        <f t="shared" si="10"/>
        <v>1310.9199999999837</v>
      </c>
      <c r="AG42" s="52">
        <v>362538.12</v>
      </c>
      <c r="AH42" s="52">
        <f>108761.44+24191.02+21060.18+42144.6+17742.78+36528.6+17816.92+20639.04+30565.26+9414.06</f>
        <v>328863.89999999997</v>
      </c>
      <c r="AI42" s="52">
        <f t="shared" si="15"/>
        <v>33674.22000000003</v>
      </c>
      <c r="AJ42" s="54">
        <v>0</v>
      </c>
      <c r="AK42" s="55">
        <v>0</v>
      </c>
      <c r="AL42" s="53">
        <f t="shared" si="13"/>
        <v>0</v>
      </c>
      <c r="AM42" s="52">
        <f t="shared" si="16"/>
        <v>362538.12</v>
      </c>
      <c r="AN42" s="51">
        <f t="shared" si="17"/>
        <v>328863.89999999997</v>
      </c>
      <c r="AO42" s="56">
        <f t="shared" si="7"/>
        <v>33674.22000000003</v>
      </c>
      <c r="AP42" s="57" t="s">
        <v>318</v>
      </c>
      <c r="AQ42" s="52">
        <v>93759.86</v>
      </c>
      <c r="AR42" s="51">
        <f>8937.57+7780.86+15570.67+6555.21+13495.78+6582.6+7625.27+11292.59+3478.1</f>
        <v>81318.649999999994</v>
      </c>
      <c r="AS42" s="56">
        <f t="shared" si="14"/>
        <v>12441.210000000006</v>
      </c>
      <c r="AT42" s="56">
        <f t="shared" si="9"/>
        <v>34985.140000000014</v>
      </c>
      <c r="AU42" s="48"/>
      <c r="AV42" s="46"/>
    </row>
    <row r="43" spans="1:48" ht="33.75" hidden="1" x14ac:dyDescent="0.2">
      <c r="A43" s="121">
        <v>639</v>
      </c>
      <c r="B43" s="122" t="s">
        <v>323</v>
      </c>
      <c r="C43" s="116"/>
      <c r="D43" s="116"/>
      <c r="E43" s="36" t="s">
        <v>324</v>
      </c>
      <c r="F43" s="36"/>
      <c r="G43" s="36"/>
      <c r="H43" s="33"/>
      <c r="I43" s="116">
        <v>6222</v>
      </c>
      <c r="J43" s="116"/>
      <c r="K43" s="39"/>
      <c r="L43" s="40" t="s">
        <v>325</v>
      </c>
      <c r="M43" s="69" t="s">
        <v>75</v>
      </c>
      <c r="N43" s="42" t="s">
        <v>76</v>
      </c>
      <c r="O43" s="62" t="s">
        <v>326</v>
      </c>
      <c r="P43" s="48" t="s">
        <v>206</v>
      </c>
      <c r="Q43" s="62" t="s">
        <v>315</v>
      </c>
      <c r="R43" s="33"/>
      <c r="S43" s="45">
        <f t="shared" si="0"/>
        <v>2596638.65</v>
      </c>
      <c r="T43" s="45">
        <v>2521008.4</v>
      </c>
      <c r="U43" s="45">
        <v>75630.25</v>
      </c>
      <c r="V43" s="46"/>
      <c r="W43" s="63"/>
      <c r="X43" s="48"/>
      <c r="Y43" s="109"/>
      <c r="Z43" s="45"/>
      <c r="AA43" s="45"/>
      <c r="AB43" s="45"/>
      <c r="AC43" s="48"/>
      <c r="AD43" s="63"/>
      <c r="AE43" s="51">
        <f t="shared" si="2"/>
        <v>75630.25</v>
      </c>
      <c r="AF43" s="52">
        <f t="shared" si="10"/>
        <v>2521008.4</v>
      </c>
      <c r="AG43" s="52"/>
      <c r="AH43" s="52"/>
      <c r="AI43" s="53">
        <f t="shared" si="15"/>
        <v>0</v>
      </c>
      <c r="AJ43" s="54"/>
      <c r="AK43" s="55"/>
      <c r="AL43" s="53"/>
      <c r="AM43" s="52"/>
      <c r="AN43" s="51"/>
      <c r="AO43" s="56"/>
      <c r="AP43" s="78"/>
      <c r="AQ43" s="79"/>
      <c r="AR43" s="80"/>
      <c r="AS43" s="56">
        <f t="shared" si="14"/>
        <v>0</v>
      </c>
      <c r="AT43" s="56">
        <f t="shared" si="9"/>
        <v>2596638.65</v>
      </c>
      <c r="AU43" s="48"/>
      <c r="AV43" s="46"/>
    </row>
    <row r="44" spans="1:48" ht="40.5" hidden="1" x14ac:dyDescent="0.2">
      <c r="A44" s="123">
        <v>639</v>
      </c>
      <c r="B44" s="105" t="s">
        <v>327</v>
      </c>
      <c r="C44" s="106"/>
      <c r="D44" s="107"/>
      <c r="E44" s="67" t="s">
        <v>328</v>
      </c>
      <c r="F44" s="67"/>
      <c r="G44" s="67"/>
      <c r="H44" s="33"/>
      <c r="I44" s="107"/>
      <c r="J44" s="107"/>
      <c r="K44" s="39"/>
      <c r="L44" s="40" t="s">
        <v>329</v>
      </c>
      <c r="M44" s="69" t="s">
        <v>75</v>
      </c>
      <c r="N44" s="42" t="s">
        <v>76</v>
      </c>
      <c r="O44" s="62"/>
      <c r="P44" s="48" t="s">
        <v>206</v>
      </c>
      <c r="Q44" s="62" t="s">
        <v>330</v>
      </c>
      <c r="R44" s="33"/>
      <c r="S44" s="45">
        <f t="shared" si="0"/>
        <v>6396039.8200000003</v>
      </c>
      <c r="T44" s="45">
        <f>6759888.86-363849.04</f>
        <v>6396039.8200000003</v>
      </c>
      <c r="U44" s="45">
        <v>0</v>
      </c>
      <c r="V44" s="46"/>
      <c r="W44" s="63"/>
      <c r="X44" s="48"/>
      <c r="Y44" s="109"/>
      <c r="Z44" s="45"/>
      <c r="AA44" s="45"/>
      <c r="AB44" s="45">
        <f t="shared" ref="AB44:AB96" si="18">Z44-AA44</f>
        <v>0</v>
      </c>
      <c r="AC44" s="48"/>
      <c r="AD44" s="63"/>
      <c r="AE44" s="51">
        <f t="shared" si="2"/>
        <v>0</v>
      </c>
      <c r="AF44" s="52">
        <f t="shared" si="10"/>
        <v>6396039.8200000003</v>
      </c>
      <c r="AG44" s="52"/>
      <c r="AH44" s="52"/>
      <c r="AI44" s="53">
        <f t="shared" si="15"/>
        <v>0</v>
      </c>
      <c r="AJ44" s="54">
        <v>0</v>
      </c>
      <c r="AK44" s="55">
        <v>0</v>
      </c>
      <c r="AL44" s="53">
        <f t="shared" ref="AL44:AL96" si="19">+AJ44-AK44</f>
        <v>0</v>
      </c>
      <c r="AM44" s="52">
        <f t="shared" ref="AM44:AM96" si="20">SUM(AG44+Z44)+AJ44</f>
        <v>0</v>
      </c>
      <c r="AN44" s="51">
        <f t="shared" ref="AN44:AN96" si="21">SUM(AA44+AH44)+AK44</f>
        <v>0</v>
      </c>
      <c r="AO44" s="56">
        <f t="shared" ref="AO44:AO96" si="22">+AM44-AN44</f>
        <v>0</v>
      </c>
      <c r="AP44" s="78"/>
      <c r="AQ44" s="79"/>
      <c r="AR44" s="80"/>
      <c r="AS44" s="56">
        <f t="shared" si="14"/>
        <v>0</v>
      </c>
      <c r="AT44" s="56">
        <f t="shared" si="9"/>
        <v>6396039.8200000003</v>
      </c>
      <c r="AU44" s="48"/>
      <c r="AV44" s="46"/>
    </row>
    <row r="45" spans="1:48" ht="33" hidden="1" x14ac:dyDescent="0.2">
      <c r="A45" s="32">
        <v>636</v>
      </c>
      <c r="B45" s="105" t="s">
        <v>337</v>
      </c>
      <c r="C45" s="106"/>
      <c r="D45" s="107">
        <v>269</v>
      </c>
      <c r="E45" s="67" t="s">
        <v>338</v>
      </c>
      <c r="F45" s="37" t="s">
        <v>59</v>
      </c>
      <c r="G45" s="67"/>
      <c r="H45" s="33"/>
      <c r="I45" s="107">
        <v>6228</v>
      </c>
      <c r="J45" s="107"/>
      <c r="K45" s="39">
        <v>1</v>
      </c>
      <c r="L45" s="40" t="s">
        <v>137</v>
      </c>
      <c r="M45" s="69" t="s">
        <v>108</v>
      </c>
      <c r="N45" s="42" t="s">
        <v>63</v>
      </c>
      <c r="O45" s="62" t="s">
        <v>88</v>
      </c>
      <c r="P45" s="48" t="s">
        <v>65</v>
      </c>
      <c r="Q45" s="62" t="s">
        <v>339</v>
      </c>
      <c r="R45" s="256" t="s">
        <v>340</v>
      </c>
      <c r="S45" s="45">
        <f t="shared" si="0"/>
        <v>2760106.98</v>
      </c>
      <c r="T45" s="45">
        <f>2786282.29-46735.68</f>
        <v>2739546.61</v>
      </c>
      <c r="U45" s="45">
        <f>21617.71-1057.34</f>
        <v>20560.37</v>
      </c>
      <c r="V45" s="46" t="s">
        <v>341</v>
      </c>
      <c r="W45" s="47" t="s">
        <v>342</v>
      </c>
      <c r="X45" s="48"/>
      <c r="Y45" s="109" t="s">
        <v>343</v>
      </c>
      <c r="Z45" s="45">
        <f>21255.1-694.73</f>
        <v>20560.37</v>
      </c>
      <c r="AA45" s="45">
        <f>7660.37+2900+10000</f>
        <v>20560.37</v>
      </c>
      <c r="AB45" s="45">
        <f t="shared" si="18"/>
        <v>0</v>
      </c>
      <c r="AC45" s="48" t="s">
        <v>93</v>
      </c>
      <c r="AD45" s="63">
        <v>41849</v>
      </c>
      <c r="AE45" s="51">
        <f t="shared" si="2"/>
        <v>0</v>
      </c>
      <c r="AF45" s="52">
        <f t="shared" si="10"/>
        <v>0</v>
      </c>
      <c r="AG45" s="52">
        <v>2739546.61</v>
      </c>
      <c r="AH45" s="52">
        <f>1366704.36+255799.44+486107.52+521206.58+109728.71</f>
        <v>2739546.6100000003</v>
      </c>
      <c r="AI45" s="53">
        <f t="shared" si="15"/>
        <v>-4.6566128730773926E-10</v>
      </c>
      <c r="AJ45" s="54">
        <v>0</v>
      </c>
      <c r="AK45" s="55">
        <v>0</v>
      </c>
      <c r="AL45" s="53">
        <f t="shared" si="19"/>
        <v>0</v>
      </c>
      <c r="AM45" s="52">
        <f t="shared" si="20"/>
        <v>2760106.98</v>
      </c>
      <c r="AN45" s="51">
        <f t="shared" si="21"/>
        <v>2760106.9800000004</v>
      </c>
      <c r="AO45" s="56">
        <f t="shared" si="22"/>
        <v>0</v>
      </c>
      <c r="AP45" s="57" t="s">
        <v>344</v>
      </c>
      <c r="AQ45" s="52">
        <v>1178193.42</v>
      </c>
      <c r="AR45" s="51">
        <f>220516.76+419058.21+449316.03+89302.42</f>
        <v>1178193.42</v>
      </c>
      <c r="AS45" s="56">
        <f t="shared" si="14"/>
        <v>0</v>
      </c>
      <c r="AT45" s="58">
        <f t="shared" si="9"/>
        <v>-4.6566128730773926E-10</v>
      </c>
      <c r="AU45" s="48"/>
      <c r="AV45" s="46"/>
    </row>
    <row r="46" spans="1:48" ht="16.5" hidden="1" x14ac:dyDescent="0.2">
      <c r="A46" s="32">
        <v>636</v>
      </c>
      <c r="B46" s="105" t="s">
        <v>345</v>
      </c>
      <c r="C46" s="106"/>
      <c r="D46" s="107">
        <v>302</v>
      </c>
      <c r="E46" s="67" t="s">
        <v>346</v>
      </c>
      <c r="F46" s="67"/>
      <c r="G46" s="67"/>
      <c r="H46" s="105"/>
      <c r="I46" s="107">
        <v>6228</v>
      </c>
      <c r="J46" s="107"/>
      <c r="K46" s="39">
        <v>1</v>
      </c>
      <c r="L46" s="40" t="s">
        <v>137</v>
      </c>
      <c r="M46" s="69" t="s">
        <v>108</v>
      </c>
      <c r="N46" s="42" t="s">
        <v>63</v>
      </c>
      <c r="O46" s="62" t="s">
        <v>88</v>
      </c>
      <c r="P46" s="48" t="s">
        <v>65</v>
      </c>
      <c r="Q46" s="62" t="s">
        <v>339</v>
      </c>
      <c r="R46" s="258"/>
      <c r="S46" s="45">
        <f t="shared" si="0"/>
        <v>5000000</v>
      </c>
      <c r="T46" s="45">
        <v>4873949.58</v>
      </c>
      <c r="U46" s="45">
        <v>126050.42</v>
      </c>
      <c r="V46" s="109" t="s">
        <v>347</v>
      </c>
      <c r="W46" s="63">
        <v>41808</v>
      </c>
      <c r="X46" s="48"/>
      <c r="Y46" s="109" t="s">
        <v>282</v>
      </c>
      <c r="Z46" s="45">
        <v>123499.7</v>
      </c>
      <c r="AA46" s="45">
        <f>6566.04+6566.04+6566.04+5800+5471.7+40000+10382+12006+10580+14558+3283.02+1276+304.9</f>
        <v>123359.74</v>
      </c>
      <c r="AB46" s="45">
        <f t="shared" si="18"/>
        <v>139.95999999999185</v>
      </c>
      <c r="AC46" s="48" t="s">
        <v>93</v>
      </c>
      <c r="AD46" s="63">
        <v>41985</v>
      </c>
      <c r="AE46" s="51">
        <f t="shared" si="2"/>
        <v>2550.7200000000012</v>
      </c>
      <c r="AF46" s="52">
        <f t="shared" si="10"/>
        <v>98627.799999999814</v>
      </c>
      <c r="AG46" s="52">
        <v>4775321.78</v>
      </c>
      <c r="AH46" s="52">
        <f>2390729.82+447461.32+850331.5+911729.11+175070.02</f>
        <v>4775321.7699999996</v>
      </c>
      <c r="AI46" s="53">
        <f t="shared" si="15"/>
        <v>1.0000000707805157E-2</v>
      </c>
      <c r="AJ46" s="54">
        <v>0</v>
      </c>
      <c r="AK46" s="55">
        <v>0</v>
      </c>
      <c r="AL46" s="53">
        <f t="shared" si="19"/>
        <v>0</v>
      </c>
      <c r="AM46" s="52">
        <f t="shared" si="20"/>
        <v>4898821.4800000004</v>
      </c>
      <c r="AN46" s="51">
        <f t="shared" si="21"/>
        <v>4898681.51</v>
      </c>
      <c r="AO46" s="56">
        <f t="shared" si="22"/>
        <v>139.97000000067055</v>
      </c>
      <c r="AP46" s="57" t="s">
        <v>344</v>
      </c>
      <c r="AQ46" s="52">
        <v>2060973.98</v>
      </c>
      <c r="AR46" s="51">
        <f>385742.53+733044.39+785973.36+156213.7</f>
        <v>2060973.9799999997</v>
      </c>
      <c r="AS46" s="56">
        <f t="shared" si="14"/>
        <v>2.3283064365386963E-10</v>
      </c>
      <c r="AT46" s="58">
        <f t="shared" si="9"/>
        <v>101318.49000000022</v>
      </c>
      <c r="AU46" s="48"/>
      <c r="AV46" s="46"/>
    </row>
    <row r="47" spans="1:48" ht="24.75" hidden="1" x14ac:dyDescent="0.2">
      <c r="A47" s="32">
        <v>636</v>
      </c>
      <c r="B47" s="105" t="s">
        <v>348</v>
      </c>
      <c r="C47" s="106"/>
      <c r="D47" s="107">
        <v>272</v>
      </c>
      <c r="E47" s="67" t="s">
        <v>349</v>
      </c>
      <c r="F47" s="67"/>
      <c r="G47" s="67" t="s">
        <v>350</v>
      </c>
      <c r="H47" s="33"/>
      <c r="I47" s="107">
        <v>6122</v>
      </c>
      <c r="J47" s="107"/>
      <c r="K47" s="39">
        <v>1</v>
      </c>
      <c r="L47" s="40" t="s">
        <v>137</v>
      </c>
      <c r="M47" s="69" t="s">
        <v>278</v>
      </c>
      <c r="N47" s="42" t="s">
        <v>76</v>
      </c>
      <c r="O47" s="62" t="s">
        <v>279</v>
      </c>
      <c r="P47" s="48" t="s">
        <v>65</v>
      </c>
      <c r="Q47" s="62" t="s">
        <v>351</v>
      </c>
      <c r="R47" s="33" t="s">
        <v>352</v>
      </c>
      <c r="S47" s="45">
        <f t="shared" si="0"/>
        <v>942809.39999999991</v>
      </c>
      <c r="T47" s="45">
        <v>926829.58</v>
      </c>
      <c r="U47" s="45">
        <v>15979.82</v>
      </c>
      <c r="V47" s="46" t="s">
        <v>353</v>
      </c>
      <c r="W47" s="63">
        <v>41794</v>
      </c>
      <c r="X47" s="48"/>
      <c r="Y47" s="109" t="s">
        <v>246</v>
      </c>
      <c r="Z47" s="45">
        <v>15836.76</v>
      </c>
      <c r="AA47" s="45">
        <f>11600+2900+1105+230</f>
        <v>15835</v>
      </c>
      <c r="AB47" s="45">
        <f t="shared" si="18"/>
        <v>1.7600000000002183</v>
      </c>
      <c r="AC47" s="48" t="s">
        <v>102</v>
      </c>
      <c r="AD47" s="63">
        <v>42062</v>
      </c>
      <c r="AE47" s="51">
        <f t="shared" si="2"/>
        <v>143.05999999999949</v>
      </c>
      <c r="AF47" s="52">
        <f t="shared" si="10"/>
        <v>8297.6199999999953</v>
      </c>
      <c r="AG47" s="52">
        <v>918531.96</v>
      </c>
      <c r="AH47" s="52">
        <f>275559.59+530862.61+112109.76</f>
        <v>918531.96</v>
      </c>
      <c r="AI47" s="53">
        <f t="shared" si="15"/>
        <v>0</v>
      </c>
      <c r="AJ47" s="54">
        <v>0</v>
      </c>
      <c r="AK47" s="55">
        <v>0</v>
      </c>
      <c r="AL47" s="53">
        <f t="shared" si="19"/>
        <v>0</v>
      </c>
      <c r="AM47" s="52">
        <f t="shared" si="20"/>
        <v>934368.72</v>
      </c>
      <c r="AN47" s="51">
        <f t="shared" si="21"/>
        <v>934366.96</v>
      </c>
      <c r="AO47" s="56">
        <f t="shared" si="22"/>
        <v>1.7600000000093132</v>
      </c>
      <c r="AP47" s="57" t="s">
        <v>205</v>
      </c>
      <c r="AQ47" s="52">
        <v>237551.37</v>
      </c>
      <c r="AR47" s="51">
        <f>196131.5+41419.87</f>
        <v>237551.37</v>
      </c>
      <c r="AS47" s="56">
        <f t="shared" si="14"/>
        <v>0</v>
      </c>
      <c r="AT47" s="58">
        <f t="shared" si="9"/>
        <v>8442.4399999999441</v>
      </c>
      <c r="AU47" s="48"/>
      <c r="AV47" s="46"/>
    </row>
    <row r="48" spans="1:48" ht="24.75" hidden="1" x14ac:dyDescent="0.2">
      <c r="A48" s="32">
        <v>636</v>
      </c>
      <c r="B48" s="105" t="s">
        <v>354</v>
      </c>
      <c r="C48" s="106"/>
      <c r="D48" s="107"/>
      <c r="E48" s="67" t="s">
        <v>355</v>
      </c>
      <c r="F48" s="67"/>
      <c r="G48" s="67" t="s">
        <v>332</v>
      </c>
      <c r="H48" s="33"/>
      <c r="I48" s="107">
        <v>6122</v>
      </c>
      <c r="J48" s="107"/>
      <c r="K48" s="39">
        <v>1</v>
      </c>
      <c r="L48" s="40" t="s">
        <v>137</v>
      </c>
      <c r="M48" s="69" t="s">
        <v>278</v>
      </c>
      <c r="N48" s="42" t="s">
        <v>76</v>
      </c>
      <c r="O48" s="62" t="s">
        <v>279</v>
      </c>
      <c r="P48" s="48" t="s">
        <v>331</v>
      </c>
      <c r="Q48" s="62" t="s">
        <v>356</v>
      </c>
      <c r="R48" s="33" t="s">
        <v>357</v>
      </c>
      <c r="S48" s="45">
        <f t="shared" si="0"/>
        <v>1578770.01</v>
      </c>
      <c r="T48" s="45">
        <v>1552011.2</v>
      </c>
      <c r="U48" s="45">
        <v>26758.81</v>
      </c>
      <c r="V48" s="46" t="s">
        <v>358</v>
      </c>
      <c r="W48" s="63">
        <v>41794</v>
      </c>
      <c r="X48" s="48"/>
      <c r="Y48" s="109" t="s">
        <v>246</v>
      </c>
      <c r="Z48" s="45">
        <v>26751.91</v>
      </c>
      <c r="AA48" s="45">
        <f>2900+2900+6566.04+10000+2900+1485.87</f>
        <v>26751.91</v>
      </c>
      <c r="AB48" s="45">
        <f t="shared" si="18"/>
        <v>0</v>
      </c>
      <c r="AC48" s="48" t="s">
        <v>93</v>
      </c>
      <c r="AD48" s="63">
        <v>41976</v>
      </c>
      <c r="AE48" s="51">
        <f t="shared" si="2"/>
        <v>6.9000000000014552</v>
      </c>
      <c r="AF48" s="52">
        <f t="shared" si="10"/>
        <v>400.42999999993481</v>
      </c>
      <c r="AG48" s="52">
        <v>1551610.77</v>
      </c>
      <c r="AH48" s="52">
        <f>465483.23+267217.37+805764.15+13146.01</f>
        <v>1551610.76</v>
      </c>
      <c r="AI48" s="53">
        <f t="shared" si="15"/>
        <v>1.0000000009313226E-2</v>
      </c>
      <c r="AJ48" s="54">
        <v>0</v>
      </c>
      <c r="AK48" s="55">
        <v>0</v>
      </c>
      <c r="AL48" s="53">
        <f t="shared" si="19"/>
        <v>0</v>
      </c>
      <c r="AM48" s="52">
        <f t="shared" si="20"/>
        <v>1578362.68</v>
      </c>
      <c r="AN48" s="51">
        <f t="shared" si="21"/>
        <v>1578362.67</v>
      </c>
      <c r="AO48" s="56">
        <f t="shared" si="22"/>
        <v>1.0000000009313226E-2</v>
      </c>
      <c r="AP48" s="57" t="s">
        <v>205</v>
      </c>
      <c r="AQ48" s="52">
        <v>401278.65</v>
      </c>
      <c r="AR48" s="51">
        <f>98725.63+297696.11+4856.91</f>
        <v>401278.64999999997</v>
      </c>
      <c r="AS48" s="56">
        <f t="shared" si="14"/>
        <v>5.8207660913467407E-11</v>
      </c>
      <c r="AT48" s="58">
        <f t="shared" si="9"/>
        <v>407.34000000008382</v>
      </c>
      <c r="AU48" s="48"/>
      <c r="AV48" s="46"/>
    </row>
    <row r="49" spans="1:48" ht="24.75" hidden="1" x14ac:dyDescent="0.2">
      <c r="A49" s="32">
        <v>636</v>
      </c>
      <c r="B49" s="105" t="s">
        <v>359</v>
      </c>
      <c r="C49" s="106"/>
      <c r="D49" s="107"/>
      <c r="E49" s="67" t="s">
        <v>360</v>
      </c>
      <c r="F49" s="67"/>
      <c r="G49" s="67" t="s">
        <v>243</v>
      </c>
      <c r="H49" s="33" t="s">
        <v>60</v>
      </c>
      <c r="I49" s="107">
        <v>6142</v>
      </c>
      <c r="J49" s="107"/>
      <c r="K49" s="39">
        <v>2</v>
      </c>
      <c r="L49" s="40" t="s">
        <v>61</v>
      </c>
      <c r="M49" s="69" t="s">
        <v>108</v>
      </c>
      <c r="N49" s="42" t="s">
        <v>76</v>
      </c>
      <c r="O49" s="62" t="s">
        <v>88</v>
      </c>
      <c r="P49" s="48" t="s">
        <v>65</v>
      </c>
      <c r="Q49" s="62" t="s">
        <v>361</v>
      </c>
      <c r="R49" s="33" t="s">
        <v>362</v>
      </c>
      <c r="S49" s="45">
        <f t="shared" si="0"/>
        <v>1893910.29</v>
      </c>
      <c r="T49" s="45">
        <v>1861810.12</v>
      </c>
      <c r="U49" s="45">
        <v>32100.17</v>
      </c>
      <c r="V49" s="46" t="s">
        <v>363</v>
      </c>
      <c r="W49" s="63">
        <v>41794</v>
      </c>
      <c r="X49" s="48"/>
      <c r="Y49" s="109" t="s">
        <v>246</v>
      </c>
      <c r="Z49" s="45">
        <v>31254.93</v>
      </c>
      <c r="AA49" s="45">
        <f>7000+19000+4514.15+699.9</f>
        <v>31214.050000000003</v>
      </c>
      <c r="AB49" s="45">
        <f t="shared" si="18"/>
        <v>40.879999999997381</v>
      </c>
      <c r="AC49" s="48" t="s">
        <v>102</v>
      </c>
      <c r="AD49" s="63">
        <v>41913</v>
      </c>
      <c r="AE49" s="51">
        <f t="shared" si="2"/>
        <v>845.23999999999796</v>
      </c>
      <c r="AF49" s="52">
        <f t="shared" si="10"/>
        <v>49023.940000000177</v>
      </c>
      <c r="AG49" s="52">
        <v>1812786.18</v>
      </c>
      <c r="AH49" s="52">
        <f>543835.85+822367.4+446582.93</f>
        <v>1812786.18</v>
      </c>
      <c r="AI49" s="52">
        <f t="shared" si="15"/>
        <v>0</v>
      </c>
      <c r="AJ49" s="124">
        <v>0</v>
      </c>
      <c r="AK49" s="45">
        <v>0</v>
      </c>
      <c r="AL49" s="52">
        <f t="shared" si="19"/>
        <v>0</v>
      </c>
      <c r="AM49" s="52">
        <f t="shared" si="20"/>
        <v>1844041.1099999999</v>
      </c>
      <c r="AN49" s="51">
        <f t="shared" si="21"/>
        <v>1844000.23</v>
      </c>
      <c r="AO49" s="51">
        <f t="shared" si="22"/>
        <v>40.879999999888241</v>
      </c>
      <c r="AP49" s="125" t="s">
        <v>205</v>
      </c>
      <c r="AQ49" s="52">
        <v>468824.01</v>
      </c>
      <c r="AR49" s="51">
        <f>303830.32+164993.69</f>
        <v>468824.01</v>
      </c>
      <c r="AS49" s="51">
        <f t="shared" si="14"/>
        <v>0</v>
      </c>
      <c r="AT49" s="126">
        <f t="shared" si="9"/>
        <v>49910.060000000056</v>
      </c>
      <c r="AU49" s="48"/>
      <c r="AV49" s="46"/>
    </row>
    <row r="50" spans="1:48" ht="24.75" hidden="1" x14ac:dyDescent="0.2">
      <c r="A50" s="32">
        <v>636</v>
      </c>
      <c r="B50" s="127" t="s">
        <v>364</v>
      </c>
      <c r="C50" s="128"/>
      <c r="D50" s="107"/>
      <c r="E50" s="253" t="s">
        <v>365</v>
      </c>
      <c r="F50" s="37" t="s">
        <v>59</v>
      </c>
      <c r="G50" s="82"/>
      <c r="H50" s="33" t="s">
        <v>60</v>
      </c>
      <c r="I50" s="107">
        <v>6225</v>
      </c>
      <c r="J50" s="107"/>
      <c r="K50" s="39">
        <v>2</v>
      </c>
      <c r="L50" s="40" t="s">
        <v>61</v>
      </c>
      <c r="M50" s="69" t="s">
        <v>366</v>
      </c>
      <c r="N50" s="42" t="s">
        <v>76</v>
      </c>
      <c r="O50" s="62" t="s">
        <v>228</v>
      </c>
      <c r="P50" s="48" t="s">
        <v>141</v>
      </c>
      <c r="Q50" s="62" t="s">
        <v>367</v>
      </c>
      <c r="R50" s="256" t="s">
        <v>368</v>
      </c>
      <c r="S50" s="45">
        <f t="shared" si="0"/>
        <v>5989907.3499999996</v>
      </c>
      <c r="T50" s="45">
        <f>6000000-10092.65</f>
        <v>5989907.3499999996</v>
      </c>
      <c r="U50" s="45">
        <v>0</v>
      </c>
      <c r="V50" s="46" t="s">
        <v>369</v>
      </c>
      <c r="W50" s="47" t="s">
        <v>370</v>
      </c>
      <c r="X50" s="48"/>
      <c r="Y50" s="109" t="s">
        <v>234</v>
      </c>
      <c r="Z50" s="45">
        <v>0</v>
      </c>
      <c r="AA50" s="45"/>
      <c r="AB50" s="45">
        <f t="shared" si="18"/>
        <v>0</v>
      </c>
      <c r="AC50" s="48"/>
      <c r="AD50" s="63"/>
      <c r="AE50" s="51">
        <f t="shared" si="2"/>
        <v>0</v>
      </c>
      <c r="AF50" s="52">
        <f t="shared" si="10"/>
        <v>0</v>
      </c>
      <c r="AG50" s="52">
        <v>5989907.3499999996</v>
      </c>
      <c r="AH50" s="52">
        <f>1796972.21+3405302.97+723688.97+63943.2</f>
        <v>5989907.3499999996</v>
      </c>
      <c r="AI50" s="53">
        <f t="shared" si="15"/>
        <v>0</v>
      </c>
      <c r="AJ50" s="54">
        <v>0</v>
      </c>
      <c r="AK50" s="55">
        <v>0</v>
      </c>
      <c r="AL50" s="53">
        <f t="shared" si="19"/>
        <v>0</v>
      </c>
      <c r="AM50" s="52">
        <f t="shared" si="20"/>
        <v>5989907.3499999996</v>
      </c>
      <c r="AN50" s="51">
        <f t="shared" si="21"/>
        <v>5989907.3499999996</v>
      </c>
      <c r="AO50" s="56">
        <f t="shared" si="22"/>
        <v>0</v>
      </c>
      <c r="AP50" s="57" t="s">
        <v>71</v>
      </c>
      <c r="AQ50" s="52">
        <v>1549113.97</v>
      </c>
      <c r="AR50" s="51">
        <f>1258116.86+267372.77+23624.34</f>
        <v>1549113.9700000002</v>
      </c>
      <c r="AS50" s="56">
        <f t="shared" si="14"/>
        <v>-2.3283064365386963E-10</v>
      </c>
      <c r="AT50" s="58">
        <f t="shared" si="9"/>
        <v>0</v>
      </c>
      <c r="AU50" s="48"/>
      <c r="AV50" s="46"/>
    </row>
    <row r="51" spans="1:48" ht="24.75" hidden="1" x14ac:dyDescent="0.2">
      <c r="A51" s="32">
        <v>636</v>
      </c>
      <c r="B51" s="259" t="s">
        <v>371</v>
      </c>
      <c r="C51" s="129"/>
      <c r="D51" s="107">
        <v>464</v>
      </c>
      <c r="E51" s="254"/>
      <c r="F51" s="84"/>
      <c r="G51" s="84"/>
      <c r="H51" s="33" t="s">
        <v>226</v>
      </c>
      <c r="I51" s="262">
        <v>6225</v>
      </c>
      <c r="J51" s="119"/>
      <c r="K51" s="39" t="s">
        <v>372</v>
      </c>
      <c r="L51" s="40" t="s">
        <v>373</v>
      </c>
      <c r="M51" s="69" t="s">
        <v>366</v>
      </c>
      <c r="N51" s="42" t="s">
        <v>76</v>
      </c>
      <c r="O51" s="62" t="s">
        <v>228</v>
      </c>
      <c r="P51" s="48" t="s">
        <v>141</v>
      </c>
      <c r="Q51" s="62" t="s">
        <v>367</v>
      </c>
      <c r="R51" s="257"/>
      <c r="S51" s="45">
        <f t="shared" si="0"/>
        <v>1371176</v>
      </c>
      <c r="T51" s="45">
        <v>1336608.54</v>
      </c>
      <c r="U51" s="45">
        <v>34567.46</v>
      </c>
      <c r="V51" s="46" t="s">
        <v>374</v>
      </c>
      <c r="W51" s="63">
        <v>41900</v>
      </c>
      <c r="X51" s="48"/>
      <c r="Y51" s="109" t="s">
        <v>282</v>
      </c>
      <c r="Z51" s="45">
        <v>33199.56</v>
      </c>
      <c r="AA51" s="45"/>
      <c r="AB51" s="45">
        <f t="shared" si="18"/>
        <v>33199.56</v>
      </c>
      <c r="AC51" s="48"/>
      <c r="AD51" s="63"/>
      <c r="AE51" s="51">
        <f t="shared" si="2"/>
        <v>1367.9000000000015</v>
      </c>
      <c r="AF51" s="52">
        <f t="shared" si="10"/>
        <v>52892.239999999991</v>
      </c>
      <c r="AG51" s="52">
        <v>1283716.3</v>
      </c>
      <c r="AH51" s="52">
        <v>1283716.3</v>
      </c>
      <c r="AI51" s="53">
        <f t="shared" si="15"/>
        <v>0</v>
      </c>
      <c r="AJ51" s="54">
        <v>0</v>
      </c>
      <c r="AK51" s="55">
        <v>0</v>
      </c>
      <c r="AL51" s="53">
        <f t="shared" si="19"/>
        <v>0</v>
      </c>
      <c r="AM51" s="52">
        <f t="shared" si="20"/>
        <v>1316915.8600000001</v>
      </c>
      <c r="AN51" s="51">
        <f t="shared" si="21"/>
        <v>1283716.3</v>
      </c>
      <c r="AO51" s="56">
        <f t="shared" si="22"/>
        <v>33199.560000000056</v>
      </c>
      <c r="AP51" s="57"/>
      <c r="AQ51" s="52"/>
      <c r="AR51" s="51"/>
      <c r="AS51" s="56">
        <f t="shared" si="14"/>
        <v>0</v>
      </c>
      <c r="AT51" s="56">
        <f t="shared" si="9"/>
        <v>87459.699999999953</v>
      </c>
      <c r="AU51" s="48"/>
      <c r="AV51" s="46"/>
    </row>
    <row r="52" spans="1:48" ht="27" hidden="1" x14ac:dyDescent="0.2">
      <c r="A52" s="32">
        <v>636</v>
      </c>
      <c r="B52" s="260"/>
      <c r="C52" s="130"/>
      <c r="D52" s="107">
        <v>465</v>
      </c>
      <c r="E52" s="254"/>
      <c r="F52" s="84"/>
      <c r="G52" s="84"/>
      <c r="H52" s="33" t="s">
        <v>226</v>
      </c>
      <c r="I52" s="263"/>
      <c r="J52" s="120"/>
      <c r="K52" s="39">
        <v>2.1</v>
      </c>
      <c r="L52" s="40" t="s">
        <v>375</v>
      </c>
      <c r="M52" s="69" t="s">
        <v>366</v>
      </c>
      <c r="N52" s="42" t="s">
        <v>76</v>
      </c>
      <c r="O52" s="62" t="s">
        <v>228</v>
      </c>
      <c r="P52" s="48" t="s">
        <v>141</v>
      </c>
      <c r="Q52" s="62" t="s">
        <v>367</v>
      </c>
      <c r="R52" s="257"/>
      <c r="S52" s="45">
        <f t="shared" si="0"/>
        <v>69779</v>
      </c>
      <c r="T52" s="45">
        <v>68019.87</v>
      </c>
      <c r="U52" s="45">
        <v>1759.13</v>
      </c>
      <c r="V52" s="46" t="s">
        <v>374</v>
      </c>
      <c r="W52" s="63">
        <v>41900</v>
      </c>
      <c r="X52" s="48"/>
      <c r="Y52" s="109" t="s">
        <v>282</v>
      </c>
      <c r="Z52" s="45">
        <v>1689.52</v>
      </c>
      <c r="AA52" s="45"/>
      <c r="AB52" s="45">
        <f t="shared" si="18"/>
        <v>1689.52</v>
      </c>
      <c r="AC52" s="48"/>
      <c r="AD52" s="63"/>
      <c r="AE52" s="51">
        <f t="shared" si="2"/>
        <v>69.610000000000127</v>
      </c>
      <c r="AF52" s="52">
        <f t="shared" si="10"/>
        <v>2691.679999999993</v>
      </c>
      <c r="AG52" s="52">
        <v>65328.19</v>
      </c>
      <c r="AH52" s="52">
        <v>65328.19</v>
      </c>
      <c r="AI52" s="53">
        <f t="shared" si="15"/>
        <v>0</v>
      </c>
      <c r="AJ52" s="54">
        <v>0</v>
      </c>
      <c r="AK52" s="55">
        <v>0</v>
      </c>
      <c r="AL52" s="53">
        <f t="shared" si="19"/>
        <v>0</v>
      </c>
      <c r="AM52" s="52">
        <f t="shared" si="20"/>
        <v>67017.710000000006</v>
      </c>
      <c r="AN52" s="51">
        <f t="shared" si="21"/>
        <v>65328.19</v>
      </c>
      <c r="AO52" s="56">
        <f t="shared" si="22"/>
        <v>1689.5200000000041</v>
      </c>
      <c r="AP52" s="57"/>
      <c r="AQ52" s="52"/>
      <c r="AR52" s="51"/>
      <c r="AS52" s="56">
        <f t="shared" si="14"/>
        <v>0</v>
      </c>
      <c r="AT52" s="56">
        <f t="shared" si="9"/>
        <v>4450.8099999999977</v>
      </c>
      <c r="AU52" s="48"/>
      <c r="AV52" s="46"/>
    </row>
    <row r="53" spans="1:48" ht="27" hidden="1" x14ac:dyDescent="0.2">
      <c r="A53" s="32">
        <v>636</v>
      </c>
      <c r="B53" s="261"/>
      <c r="C53" s="131"/>
      <c r="D53" s="107">
        <v>466</v>
      </c>
      <c r="E53" s="255"/>
      <c r="F53" s="36"/>
      <c r="G53" s="36"/>
      <c r="H53" s="33" t="s">
        <v>226</v>
      </c>
      <c r="I53" s="264"/>
      <c r="J53" s="116"/>
      <c r="K53" s="39">
        <v>2.1</v>
      </c>
      <c r="L53" s="40" t="s">
        <v>376</v>
      </c>
      <c r="M53" s="69" t="s">
        <v>366</v>
      </c>
      <c r="N53" s="42" t="s">
        <v>76</v>
      </c>
      <c r="O53" s="62" t="s">
        <v>228</v>
      </c>
      <c r="P53" s="48" t="s">
        <v>141</v>
      </c>
      <c r="Q53" s="62" t="s">
        <v>367</v>
      </c>
      <c r="R53" s="258"/>
      <c r="S53" s="45">
        <f t="shared" si="0"/>
        <v>559045</v>
      </c>
      <c r="T53" s="45">
        <v>544951.43000000005</v>
      </c>
      <c r="U53" s="45">
        <v>14093.57</v>
      </c>
      <c r="V53" s="46" t="s">
        <v>374</v>
      </c>
      <c r="W53" s="63">
        <v>41900</v>
      </c>
      <c r="X53" s="48"/>
      <c r="Y53" s="109" t="s">
        <v>282</v>
      </c>
      <c r="Z53" s="45">
        <v>13535.86</v>
      </c>
      <c r="AA53" s="45"/>
      <c r="AB53" s="45">
        <f t="shared" si="18"/>
        <v>13535.86</v>
      </c>
      <c r="AC53" s="48"/>
      <c r="AD53" s="63"/>
      <c r="AE53" s="51">
        <f t="shared" si="2"/>
        <v>557.70999999999913</v>
      </c>
      <c r="AF53" s="52">
        <f t="shared" si="10"/>
        <v>21564.810000000056</v>
      </c>
      <c r="AG53" s="52">
        <v>523386.62</v>
      </c>
      <c r="AH53" s="52">
        <v>523386.62</v>
      </c>
      <c r="AI53" s="53">
        <f t="shared" ref="AI53:AI109" si="23">SUM(AG53-AH53)</f>
        <v>0</v>
      </c>
      <c r="AJ53" s="54">
        <v>0</v>
      </c>
      <c r="AK53" s="55">
        <v>0</v>
      </c>
      <c r="AL53" s="53">
        <f t="shared" si="19"/>
        <v>0</v>
      </c>
      <c r="AM53" s="52">
        <f t="shared" si="20"/>
        <v>536922.48</v>
      </c>
      <c r="AN53" s="51">
        <f t="shared" si="21"/>
        <v>523386.62</v>
      </c>
      <c r="AO53" s="56">
        <f t="shared" si="22"/>
        <v>13535.859999999986</v>
      </c>
      <c r="AP53" s="57"/>
      <c r="AQ53" s="52"/>
      <c r="AR53" s="51"/>
      <c r="AS53" s="56">
        <f t="shared" si="14"/>
        <v>0</v>
      </c>
      <c r="AT53" s="56">
        <f t="shared" si="9"/>
        <v>35658.380000000005</v>
      </c>
      <c r="AU53" s="48"/>
      <c r="AV53" s="46"/>
    </row>
    <row r="54" spans="1:48" ht="16.5" hidden="1" x14ac:dyDescent="0.2">
      <c r="A54" s="32">
        <v>636</v>
      </c>
      <c r="B54" s="105" t="s">
        <v>377</v>
      </c>
      <c r="C54" s="106"/>
      <c r="D54" s="107">
        <v>303</v>
      </c>
      <c r="E54" s="67" t="s">
        <v>378</v>
      </c>
      <c r="F54" s="67"/>
      <c r="G54" s="67" t="s">
        <v>379</v>
      </c>
      <c r="H54" s="105"/>
      <c r="I54" s="107">
        <v>6242</v>
      </c>
      <c r="J54" s="107"/>
      <c r="K54" s="39">
        <v>1</v>
      </c>
      <c r="L54" s="40" t="s">
        <v>137</v>
      </c>
      <c r="M54" s="69" t="s">
        <v>108</v>
      </c>
      <c r="N54" s="42" t="s">
        <v>76</v>
      </c>
      <c r="O54" s="62" t="s">
        <v>88</v>
      </c>
      <c r="P54" s="48" t="s">
        <v>380</v>
      </c>
      <c r="Q54" s="62" t="s">
        <v>381</v>
      </c>
      <c r="R54" s="33" t="s">
        <v>382</v>
      </c>
      <c r="S54" s="45">
        <f t="shared" ref="S54:S110" si="24">T54+U54</f>
        <v>0</v>
      </c>
      <c r="T54" s="45">
        <f>1544064.33-1544064.33</f>
        <v>0</v>
      </c>
      <c r="U54" s="45">
        <f>26621.8-26621.8</f>
        <v>0</v>
      </c>
      <c r="V54" s="46" t="s">
        <v>383</v>
      </c>
      <c r="W54" s="63">
        <v>41808</v>
      </c>
      <c r="X54" s="48"/>
      <c r="Y54" s="109" t="s">
        <v>246</v>
      </c>
      <c r="Z54" s="45">
        <v>26381.5</v>
      </c>
      <c r="AA54" s="45">
        <f>6960+6566.04+6566.04+5800+360-360</f>
        <v>25892.080000000002</v>
      </c>
      <c r="AB54" s="45">
        <f t="shared" si="18"/>
        <v>489.41999999999825</v>
      </c>
      <c r="AC54" s="48" t="s">
        <v>102</v>
      </c>
      <c r="AD54" s="63">
        <v>42054</v>
      </c>
      <c r="AE54" s="51">
        <f t="shared" ref="AE54:AE110" si="25">U54-Z54</f>
        <v>-26381.5</v>
      </c>
      <c r="AF54" s="52">
        <f t="shared" ref="AF54:AF111" si="26">T54-AG54-AJ54</f>
        <v>0</v>
      </c>
      <c r="AG54" s="52">
        <f>1530127-1530127</f>
        <v>0</v>
      </c>
      <c r="AH54" s="52">
        <f>459038.1-459038.1</f>
        <v>0</v>
      </c>
      <c r="AI54" s="53">
        <f t="shared" si="23"/>
        <v>0</v>
      </c>
      <c r="AJ54" s="54">
        <v>0</v>
      </c>
      <c r="AK54" s="55">
        <v>0</v>
      </c>
      <c r="AL54" s="53">
        <f t="shared" si="19"/>
        <v>0</v>
      </c>
      <c r="AM54" s="52">
        <f t="shared" si="20"/>
        <v>26381.5</v>
      </c>
      <c r="AN54" s="51">
        <f t="shared" si="21"/>
        <v>25892.080000000002</v>
      </c>
      <c r="AO54" s="56">
        <f t="shared" si="22"/>
        <v>489.41999999999825</v>
      </c>
      <c r="AP54" s="57" t="s">
        <v>71</v>
      </c>
      <c r="AQ54" s="52">
        <v>0</v>
      </c>
      <c r="AR54" s="51"/>
      <c r="AS54" s="56">
        <f t="shared" si="14"/>
        <v>0</v>
      </c>
      <c r="AT54" s="56">
        <f t="shared" ref="AT54:AT109" si="27">SUM(S54-AN54)</f>
        <v>-25892.080000000002</v>
      </c>
      <c r="AU54" s="48"/>
      <c r="AV54" s="46"/>
    </row>
    <row r="55" spans="1:48" ht="24.75" hidden="1" x14ac:dyDescent="0.2">
      <c r="A55" s="32">
        <v>639</v>
      </c>
      <c r="B55" s="105" t="s">
        <v>384</v>
      </c>
      <c r="C55" s="106"/>
      <c r="D55" s="39"/>
      <c r="E55" s="67" t="s">
        <v>385</v>
      </c>
      <c r="F55" s="67"/>
      <c r="G55" s="67" t="s">
        <v>386</v>
      </c>
      <c r="H55" s="33" t="s">
        <v>209</v>
      </c>
      <c r="I55" s="107">
        <v>6222</v>
      </c>
      <c r="J55" s="107"/>
      <c r="K55" s="39">
        <v>2.2999999999999998</v>
      </c>
      <c r="L55" s="40" t="s">
        <v>210</v>
      </c>
      <c r="M55" s="69" t="s">
        <v>75</v>
      </c>
      <c r="N55" s="42" t="s">
        <v>76</v>
      </c>
      <c r="O55" s="41" t="s">
        <v>77</v>
      </c>
      <c r="P55" s="46" t="s">
        <v>331</v>
      </c>
      <c r="Q55" s="62" t="s">
        <v>387</v>
      </c>
      <c r="R55" s="33" t="s">
        <v>388</v>
      </c>
      <c r="S55" s="45">
        <f t="shared" si="24"/>
        <v>274499.25</v>
      </c>
      <c r="T55" s="45">
        <v>274499.25</v>
      </c>
      <c r="U55" s="45">
        <v>0</v>
      </c>
      <c r="V55" s="109" t="s">
        <v>389</v>
      </c>
      <c r="W55" s="63">
        <v>41817</v>
      </c>
      <c r="X55" s="48"/>
      <c r="Y55" s="109" t="s">
        <v>234</v>
      </c>
      <c r="Z55" s="45"/>
      <c r="AA55" s="45"/>
      <c r="AB55" s="45">
        <f t="shared" si="18"/>
        <v>0</v>
      </c>
      <c r="AC55" s="48"/>
      <c r="AD55" s="63"/>
      <c r="AE55" s="51">
        <f t="shared" si="25"/>
        <v>0</v>
      </c>
      <c r="AF55" s="52">
        <f t="shared" si="26"/>
        <v>4931.070000000007</v>
      </c>
      <c r="AG55" s="52">
        <v>269568.18</v>
      </c>
      <c r="AH55" s="52">
        <v>269568.18</v>
      </c>
      <c r="AI55" s="52">
        <f t="shared" si="23"/>
        <v>0</v>
      </c>
      <c r="AJ55" s="124">
        <v>0</v>
      </c>
      <c r="AK55" s="45">
        <v>0</v>
      </c>
      <c r="AL55" s="52">
        <f t="shared" si="19"/>
        <v>0</v>
      </c>
      <c r="AM55" s="52">
        <f t="shared" si="20"/>
        <v>269568.18</v>
      </c>
      <c r="AN55" s="51">
        <f t="shared" si="21"/>
        <v>269568.18</v>
      </c>
      <c r="AO55" s="51">
        <f t="shared" si="22"/>
        <v>0</v>
      </c>
      <c r="AP55" s="125" t="s">
        <v>205</v>
      </c>
      <c r="AQ55" s="52"/>
      <c r="AR55" s="51"/>
      <c r="AS55" s="51">
        <f t="shared" si="14"/>
        <v>0</v>
      </c>
      <c r="AT55" s="126">
        <f t="shared" si="27"/>
        <v>4931.070000000007</v>
      </c>
      <c r="AU55" s="48"/>
      <c r="AV55" s="46"/>
    </row>
    <row r="56" spans="1:48" ht="24.75" hidden="1" x14ac:dyDescent="0.2">
      <c r="A56" s="32">
        <v>639</v>
      </c>
      <c r="B56" s="105" t="s">
        <v>390</v>
      </c>
      <c r="C56" s="106"/>
      <c r="D56" s="39"/>
      <c r="E56" s="67" t="s">
        <v>391</v>
      </c>
      <c r="F56" s="67"/>
      <c r="G56" s="67" t="s">
        <v>244</v>
      </c>
      <c r="H56" s="33" t="s">
        <v>209</v>
      </c>
      <c r="I56" s="107">
        <v>6222</v>
      </c>
      <c r="J56" s="107"/>
      <c r="K56" s="39">
        <v>2.2999999999999998</v>
      </c>
      <c r="L56" s="40" t="s">
        <v>210</v>
      </c>
      <c r="M56" s="69" t="s">
        <v>75</v>
      </c>
      <c r="N56" s="42" t="s">
        <v>76</v>
      </c>
      <c r="O56" s="41" t="s">
        <v>77</v>
      </c>
      <c r="P56" s="48" t="s">
        <v>334</v>
      </c>
      <c r="Q56" s="62" t="s">
        <v>392</v>
      </c>
      <c r="R56" s="33" t="s">
        <v>393</v>
      </c>
      <c r="S56" s="45">
        <f t="shared" si="24"/>
        <v>1514788.11</v>
      </c>
      <c r="T56" s="45">
        <v>1514788.11</v>
      </c>
      <c r="U56" s="45">
        <v>0</v>
      </c>
      <c r="V56" s="109" t="s">
        <v>394</v>
      </c>
      <c r="W56" s="63">
        <v>41800</v>
      </c>
      <c r="X56" s="48"/>
      <c r="Y56" s="109" t="s">
        <v>234</v>
      </c>
      <c r="Z56" s="45"/>
      <c r="AA56" s="45"/>
      <c r="AB56" s="45">
        <f t="shared" si="18"/>
        <v>0</v>
      </c>
      <c r="AC56" s="48"/>
      <c r="AD56" s="63"/>
      <c r="AE56" s="51">
        <f t="shared" si="25"/>
        <v>0</v>
      </c>
      <c r="AF56" s="52">
        <f t="shared" si="26"/>
        <v>263148.1100000001</v>
      </c>
      <c r="AG56" s="52">
        <v>1251640</v>
      </c>
      <c r="AH56" s="52">
        <f>375492+705672.86+170475.14</f>
        <v>1251640</v>
      </c>
      <c r="AI56" s="52">
        <f t="shared" si="23"/>
        <v>0</v>
      </c>
      <c r="AJ56" s="124">
        <v>0</v>
      </c>
      <c r="AK56" s="45">
        <v>0</v>
      </c>
      <c r="AL56" s="52">
        <f t="shared" si="19"/>
        <v>0</v>
      </c>
      <c r="AM56" s="52">
        <f t="shared" si="20"/>
        <v>1251640</v>
      </c>
      <c r="AN56" s="51">
        <f t="shared" si="21"/>
        <v>1251640</v>
      </c>
      <c r="AO56" s="51">
        <f t="shared" si="22"/>
        <v>0</v>
      </c>
      <c r="AP56" s="125"/>
      <c r="AQ56" s="52">
        <v>323700</v>
      </c>
      <c r="AR56" s="51">
        <f>260716.57+62983.43</f>
        <v>323700</v>
      </c>
      <c r="AS56" s="51">
        <f t="shared" si="14"/>
        <v>0</v>
      </c>
      <c r="AT56" s="126">
        <f t="shared" si="27"/>
        <v>263148.1100000001</v>
      </c>
      <c r="AU56" s="48"/>
      <c r="AV56" s="46"/>
    </row>
    <row r="57" spans="1:48" ht="24.75" hidden="1" x14ac:dyDescent="0.2">
      <c r="A57" s="32">
        <v>639</v>
      </c>
      <c r="B57" s="105" t="s">
        <v>395</v>
      </c>
      <c r="C57" s="106"/>
      <c r="D57" s="39">
        <v>263</v>
      </c>
      <c r="E57" s="67" t="s">
        <v>396</v>
      </c>
      <c r="F57" s="67"/>
      <c r="G57" s="67" t="s">
        <v>332</v>
      </c>
      <c r="H57" s="33" t="s">
        <v>209</v>
      </c>
      <c r="I57" s="107">
        <v>6222</v>
      </c>
      <c r="J57" s="107"/>
      <c r="K57" s="39">
        <v>2.2999999999999998</v>
      </c>
      <c r="L57" s="40" t="s">
        <v>210</v>
      </c>
      <c r="M57" s="69" t="s">
        <v>75</v>
      </c>
      <c r="N57" s="42" t="s">
        <v>76</v>
      </c>
      <c r="O57" s="41" t="s">
        <v>77</v>
      </c>
      <c r="P57" s="46" t="s">
        <v>229</v>
      </c>
      <c r="Q57" s="62" t="s">
        <v>397</v>
      </c>
      <c r="R57" s="33" t="s">
        <v>398</v>
      </c>
      <c r="S57" s="45">
        <f t="shared" si="24"/>
        <v>302592.12</v>
      </c>
      <c r="T57" s="45">
        <v>302592.12</v>
      </c>
      <c r="U57" s="45">
        <v>0</v>
      </c>
      <c r="V57" s="109" t="s">
        <v>389</v>
      </c>
      <c r="W57" s="63">
        <v>41817</v>
      </c>
      <c r="X57" s="48"/>
      <c r="Y57" s="109" t="s">
        <v>234</v>
      </c>
      <c r="Z57" s="45"/>
      <c r="AA57" s="45"/>
      <c r="AB57" s="45">
        <f t="shared" si="18"/>
        <v>0</v>
      </c>
      <c r="AC57" s="48"/>
      <c r="AD57" s="63"/>
      <c r="AE57" s="51">
        <f t="shared" si="25"/>
        <v>0</v>
      </c>
      <c r="AF57" s="52">
        <f t="shared" si="26"/>
        <v>5128.679999999993</v>
      </c>
      <c r="AG57" s="52">
        <v>297463.44</v>
      </c>
      <c r="AH57" s="52">
        <f>89239.03+178086.83+30137.58</f>
        <v>297463.44</v>
      </c>
      <c r="AI57" s="52">
        <f t="shared" si="23"/>
        <v>0</v>
      </c>
      <c r="AJ57" s="124">
        <v>0</v>
      </c>
      <c r="AK57" s="45">
        <v>0</v>
      </c>
      <c r="AL57" s="52">
        <f t="shared" si="19"/>
        <v>0</v>
      </c>
      <c r="AM57" s="52">
        <f t="shared" si="20"/>
        <v>297463.44</v>
      </c>
      <c r="AN57" s="51">
        <f t="shared" si="21"/>
        <v>297463.44</v>
      </c>
      <c r="AO57" s="51">
        <f t="shared" si="22"/>
        <v>0</v>
      </c>
      <c r="AP57" s="125" t="s">
        <v>205</v>
      </c>
      <c r="AQ57" s="52">
        <v>76930.2</v>
      </c>
      <c r="AR57" s="51">
        <f>65795.63+11134.57</f>
        <v>76930.200000000012</v>
      </c>
      <c r="AS57" s="51">
        <f t="shared" si="14"/>
        <v>-1.4551915228366852E-11</v>
      </c>
      <c r="AT57" s="126">
        <f t="shared" si="27"/>
        <v>5128.679999999993</v>
      </c>
      <c r="AU57" s="48"/>
      <c r="AV57" s="46"/>
    </row>
    <row r="58" spans="1:48" ht="24.75" hidden="1" x14ac:dyDescent="0.2">
      <c r="A58" s="32">
        <v>639</v>
      </c>
      <c r="B58" s="105" t="s">
        <v>399</v>
      </c>
      <c r="C58" s="106"/>
      <c r="D58" s="39"/>
      <c r="E58" s="67" t="s">
        <v>400</v>
      </c>
      <c r="F58" s="67"/>
      <c r="G58" s="67" t="s">
        <v>244</v>
      </c>
      <c r="H58" s="33" t="s">
        <v>209</v>
      </c>
      <c r="I58" s="107">
        <v>6222</v>
      </c>
      <c r="J58" s="107"/>
      <c r="K58" s="39">
        <v>2.2999999999999998</v>
      </c>
      <c r="L58" s="40" t="s">
        <v>210</v>
      </c>
      <c r="M58" s="69" t="s">
        <v>75</v>
      </c>
      <c r="N58" s="42" t="s">
        <v>76</v>
      </c>
      <c r="O58" s="41" t="s">
        <v>77</v>
      </c>
      <c r="P58" s="48" t="s">
        <v>334</v>
      </c>
      <c r="Q58" s="62" t="s">
        <v>401</v>
      </c>
      <c r="R58" s="33" t="s">
        <v>402</v>
      </c>
      <c r="S58" s="45">
        <f t="shared" si="24"/>
        <v>1095110.93</v>
      </c>
      <c r="T58" s="45">
        <v>1095110.93</v>
      </c>
      <c r="U58" s="45">
        <v>0</v>
      </c>
      <c r="V58" s="109" t="s">
        <v>394</v>
      </c>
      <c r="W58" s="63">
        <v>41800</v>
      </c>
      <c r="X58" s="48"/>
      <c r="Y58" s="109" t="s">
        <v>234</v>
      </c>
      <c r="Z58" s="45"/>
      <c r="AA58" s="45"/>
      <c r="AB58" s="45">
        <f t="shared" si="18"/>
        <v>0</v>
      </c>
      <c r="AC58" s="48"/>
      <c r="AD58" s="63"/>
      <c r="AE58" s="51">
        <f t="shared" si="25"/>
        <v>0</v>
      </c>
      <c r="AF58" s="52">
        <f t="shared" si="26"/>
        <v>115780.84999999998</v>
      </c>
      <c r="AG58" s="52">
        <v>979330.08</v>
      </c>
      <c r="AH58" s="52">
        <f>293799.02+268871.57+287032.57</f>
        <v>849703.16000000015</v>
      </c>
      <c r="AI58" s="52">
        <f t="shared" si="23"/>
        <v>129626.91999999981</v>
      </c>
      <c r="AJ58" s="124">
        <v>0</v>
      </c>
      <c r="AK58" s="45">
        <v>0</v>
      </c>
      <c r="AL58" s="52">
        <f t="shared" si="19"/>
        <v>0</v>
      </c>
      <c r="AM58" s="52">
        <f t="shared" si="20"/>
        <v>979330.08</v>
      </c>
      <c r="AN58" s="51">
        <f t="shared" si="21"/>
        <v>849703.16000000015</v>
      </c>
      <c r="AO58" s="51">
        <f t="shared" si="22"/>
        <v>129626.91999999981</v>
      </c>
      <c r="AP58" s="125"/>
      <c r="AQ58" s="52">
        <v>253275.02</v>
      </c>
      <c r="AR58" s="51">
        <f>99336.79+106046.52</f>
        <v>205383.31</v>
      </c>
      <c r="AS58" s="51">
        <f t="shared" si="14"/>
        <v>47891.709999999992</v>
      </c>
      <c r="AT58" s="51">
        <f t="shared" si="27"/>
        <v>245407.76999999979</v>
      </c>
      <c r="AU58" s="48"/>
      <c r="AV58" s="46"/>
    </row>
    <row r="59" spans="1:48" ht="24.75" hidden="1" x14ac:dyDescent="0.2">
      <c r="A59" s="32">
        <v>636</v>
      </c>
      <c r="B59" s="105" t="s">
        <v>406</v>
      </c>
      <c r="C59" s="106"/>
      <c r="D59" s="107">
        <v>314</v>
      </c>
      <c r="E59" s="67" t="s">
        <v>407</v>
      </c>
      <c r="F59" s="67"/>
      <c r="G59" s="67"/>
      <c r="H59" s="33" t="s">
        <v>60</v>
      </c>
      <c r="I59" s="107">
        <v>6242</v>
      </c>
      <c r="J59" s="107"/>
      <c r="K59" s="39">
        <v>2</v>
      </c>
      <c r="L59" s="40" t="s">
        <v>61</v>
      </c>
      <c r="M59" s="69" t="s">
        <v>108</v>
      </c>
      <c r="N59" s="42" t="s">
        <v>76</v>
      </c>
      <c r="O59" s="62" t="s">
        <v>88</v>
      </c>
      <c r="P59" s="46" t="s">
        <v>104</v>
      </c>
      <c r="Q59" s="62" t="s">
        <v>408</v>
      </c>
      <c r="R59" s="33" t="s">
        <v>409</v>
      </c>
      <c r="S59" s="45">
        <f t="shared" si="24"/>
        <v>1993645.65</v>
      </c>
      <c r="T59" s="45">
        <f>2924369.75-930724.1</f>
        <v>1993645.65</v>
      </c>
      <c r="U59" s="45">
        <f>75630.25-75630.25</f>
        <v>0</v>
      </c>
      <c r="V59" s="67" t="s">
        <v>410</v>
      </c>
      <c r="W59" s="47" t="s">
        <v>411</v>
      </c>
      <c r="X59" s="48"/>
      <c r="Y59" s="109" t="s">
        <v>234</v>
      </c>
      <c r="Z59" s="45">
        <f>51559.8-51559.8</f>
        <v>0</v>
      </c>
      <c r="AA59" s="45"/>
      <c r="AB59" s="45">
        <f t="shared" si="18"/>
        <v>0</v>
      </c>
      <c r="AC59" s="48"/>
      <c r="AD59" s="63"/>
      <c r="AE59" s="51">
        <f t="shared" si="25"/>
        <v>0</v>
      </c>
      <c r="AF59" s="52">
        <f t="shared" si="26"/>
        <v>0</v>
      </c>
      <c r="AG59" s="52">
        <v>1993645.65</v>
      </c>
      <c r="AH59" s="52">
        <f>598093.69+290273.91+134164.49+163468.85+79427.66+459057.58+269159.47</f>
        <v>1993645.65</v>
      </c>
      <c r="AI59" s="52">
        <f t="shared" si="23"/>
        <v>0</v>
      </c>
      <c r="AJ59" s="124">
        <v>0</v>
      </c>
      <c r="AK59" s="45">
        <v>0</v>
      </c>
      <c r="AL59" s="52">
        <f t="shared" si="19"/>
        <v>0</v>
      </c>
      <c r="AM59" s="52">
        <f t="shared" si="20"/>
        <v>1993645.65</v>
      </c>
      <c r="AN59" s="51">
        <f t="shared" si="21"/>
        <v>1993645.65</v>
      </c>
      <c r="AO59" s="51">
        <f t="shared" si="22"/>
        <v>0</v>
      </c>
      <c r="AP59" s="125" t="s">
        <v>344</v>
      </c>
      <c r="AQ59" s="52">
        <v>515598.01</v>
      </c>
      <c r="AR59" s="51">
        <f>107244.05+49568.16+60394.89+29345.2+169602.55+99443.16</f>
        <v>515598.01</v>
      </c>
      <c r="AS59" s="51">
        <f t="shared" si="14"/>
        <v>0</v>
      </c>
      <c r="AT59" s="126">
        <f t="shared" si="27"/>
        <v>0</v>
      </c>
      <c r="AU59" s="48"/>
      <c r="AV59" s="46"/>
    </row>
    <row r="60" spans="1:48" ht="24.75" hidden="1" x14ac:dyDescent="0.2">
      <c r="A60" s="32">
        <v>636</v>
      </c>
      <c r="B60" s="105" t="s">
        <v>412</v>
      </c>
      <c r="C60" s="106"/>
      <c r="D60" s="107">
        <v>311</v>
      </c>
      <c r="E60" s="67" t="s">
        <v>413</v>
      </c>
      <c r="F60" s="67"/>
      <c r="G60" s="67" t="s">
        <v>414</v>
      </c>
      <c r="H60" s="33" t="s">
        <v>60</v>
      </c>
      <c r="I60" s="107">
        <v>6122</v>
      </c>
      <c r="J60" s="107"/>
      <c r="K60" s="39">
        <v>2</v>
      </c>
      <c r="L60" s="40" t="s">
        <v>61</v>
      </c>
      <c r="M60" s="69" t="s">
        <v>278</v>
      </c>
      <c r="N60" s="42" t="s">
        <v>76</v>
      </c>
      <c r="O60" s="62" t="s">
        <v>279</v>
      </c>
      <c r="P60" s="46" t="s">
        <v>109</v>
      </c>
      <c r="Q60" s="62" t="s">
        <v>415</v>
      </c>
      <c r="R60" s="33" t="s">
        <v>416</v>
      </c>
      <c r="S60" s="45">
        <f t="shared" si="24"/>
        <v>1045898.0399999999</v>
      </c>
      <c r="T60" s="45">
        <v>1028170.95</v>
      </c>
      <c r="U60" s="45">
        <v>17727.09</v>
      </c>
      <c r="V60" s="67" t="s">
        <v>417</v>
      </c>
      <c r="W60" s="63">
        <v>41843</v>
      </c>
      <c r="X60" s="48"/>
      <c r="Y60" s="109" t="s">
        <v>246</v>
      </c>
      <c r="Z60" s="45">
        <v>17675.04</v>
      </c>
      <c r="AA60" s="45">
        <f>5800+5800+1299.5+3283.02+888.74+550-550</f>
        <v>17071.260000000002</v>
      </c>
      <c r="AB60" s="45">
        <f t="shared" si="18"/>
        <v>603.77999999999884</v>
      </c>
      <c r="AC60" s="48" t="s">
        <v>102</v>
      </c>
      <c r="AD60" s="63">
        <v>42054</v>
      </c>
      <c r="AE60" s="51">
        <f t="shared" si="25"/>
        <v>52.049999999999272</v>
      </c>
      <c r="AF60" s="52">
        <f t="shared" si="26"/>
        <v>3018.4699999999721</v>
      </c>
      <c r="AG60" s="52">
        <v>1025152.48</v>
      </c>
      <c r="AH60" s="52">
        <f>307545.74+626180.44+91426.3</f>
        <v>1025152.48</v>
      </c>
      <c r="AI60" s="52">
        <f t="shared" si="23"/>
        <v>0</v>
      </c>
      <c r="AJ60" s="124">
        <v>0</v>
      </c>
      <c r="AK60" s="45">
        <v>0</v>
      </c>
      <c r="AL60" s="52">
        <f t="shared" si="19"/>
        <v>0</v>
      </c>
      <c r="AM60" s="52">
        <f t="shared" si="20"/>
        <v>1042827.52</v>
      </c>
      <c r="AN60" s="51">
        <f t="shared" si="21"/>
        <v>1042223.74</v>
      </c>
      <c r="AO60" s="51">
        <f t="shared" si="22"/>
        <v>603.78000000002794</v>
      </c>
      <c r="AP60" s="125" t="s">
        <v>336</v>
      </c>
      <c r="AQ60" s="52">
        <v>265125.64</v>
      </c>
      <c r="AR60" s="51">
        <f>231347.45+33778.19</f>
        <v>265125.64</v>
      </c>
      <c r="AS60" s="51">
        <f t="shared" si="14"/>
        <v>0</v>
      </c>
      <c r="AT60" s="126">
        <f t="shared" si="27"/>
        <v>3674.2999999999302</v>
      </c>
      <c r="AU60" s="48"/>
      <c r="AV60" s="46"/>
    </row>
    <row r="61" spans="1:48" ht="33" hidden="1" x14ac:dyDescent="0.2">
      <c r="A61" s="32">
        <v>636</v>
      </c>
      <c r="B61" s="105" t="s">
        <v>418</v>
      </c>
      <c r="C61" s="106"/>
      <c r="D61" s="107"/>
      <c r="E61" s="67" t="s">
        <v>419</v>
      </c>
      <c r="F61" s="37" t="s">
        <v>59</v>
      </c>
      <c r="G61" s="67"/>
      <c r="H61" s="105"/>
      <c r="I61" s="107">
        <v>6228</v>
      </c>
      <c r="J61" s="107"/>
      <c r="K61" s="39">
        <v>1</v>
      </c>
      <c r="L61" s="40" t="s">
        <v>137</v>
      </c>
      <c r="M61" s="69" t="s">
        <v>108</v>
      </c>
      <c r="N61" s="42" t="s">
        <v>76</v>
      </c>
      <c r="O61" s="62" t="s">
        <v>88</v>
      </c>
      <c r="P61" s="46" t="s">
        <v>331</v>
      </c>
      <c r="Q61" s="62" t="s">
        <v>420</v>
      </c>
      <c r="R61" s="33" t="s">
        <v>421</v>
      </c>
      <c r="S61" s="45">
        <f t="shared" si="24"/>
        <v>59841644.369999997</v>
      </c>
      <c r="T61" s="45">
        <f>58487394.96-153634.1</f>
        <v>58333760.859999999</v>
      </c>
      <c r="U61" s="45">
        <f>1512605.04-4721.53</f>
        <v>1507883.51</v>
      </c>
      <c r="V61" s="67" t="s">
        <v>422</v>
      </c>
      <c r="W61" s="47" t="s">
        <v>423</v>
      </c>
      <c r="X61" s="48"/>
      <c r="Y61" s="109" t="s">
        <v>282</v>
      </c>
      <c r="Z61" s="45">
        <f>1508631.75-748.24</f>
        <v>1507883.51</v>
      </c>
      <c r="AA61" s="45">
        <f>6566.04+4514.15+5471.7+5800+6960+5800+6445.66+6566.04+6566.04+7660.37+50000+6566.04+10000+6566.04+4514.15+4514.15+6960+5800+6566.04+5800+5800+5800+5800+5800+6566.04+6445.66+5800+5800+11600+5800+6380+5800+120000+10580+5800+6566.04+6566.04+6566.04+5471.7+6566.04+6566.04+6000+5220+5800+6566.04+5800+5800+5800+5800+5800+5800+6445.66+9028.3+6566.04+5800+5800+6566.04+5800+5800+6380+6566.04+6960+5800+5800+5471.7+5800+6566.04+7660.37+7660.37+5800+5471.7+6566.04+6566.04+6566.04+6566.04+5471.7+6566.04+5800+6566.04+6566.04+13132.08+5471.7+5471.7+5220+5220+5220+5220+5220+5800+5800+5471.7+5471.7+5471.7+5471.7+6566.04+6566.04+5220+5220+5220+5220+6000+6000+6000+6000+5800+5800+5800+6566.04+6566.04+6960+6960+6445.66+6445.66+6566.04+6566.04+5471.7+5471.7+5800+5800+6566.04+6566.04+5800+5800+5800+5800+9028.3+9028.3+6566.04+6566.04+6566.04+6566.04+5800+5800+8119.92+5800+5800+5800+5800+4814+6566.04+6566.04+6566.04+6566.04+6566.04+5800+5800+5800+5800+5800+6566.04+6566.04+6566.04+6566.04+5800+5800+7660.37+7660.37+13492.62+20441.98+2706.64+5800+5800+1717.09+6000+5220-5220+60000+10347.07+12407.64+43704.02+15787.6+9802+5471.7+6566.04+6566.04+5471.7+6566.04+5800+5800+5471.7+7660.37+6960+5471.7+6566.04+9028.3+6566.04+5800+5800+5800+6445.66+5800+5800+6566.04+5800+6566.04+6566.04+5800</f>
        <v>1507883.5100000012</v>
      </c>
      <c r="AB61" s="45">
        <f t="shared" si="18"/>
        <v>0</v>
      </c>
      <c r="AC61" s="48" t="s">
        <v>82</v>
      </c>
      <c r="AD61" s="63">
        <v>41935</v>
      </c>
      <c r="AE61" s="51">
        <f t="shared" si="25"/>
        <v>0</v>
      </c>
      <c r="AF61" s="52">
        <f t="shared" si="26"/>
        <v>0</v>
      </c>
      <c r="AG61" s="52">
        <v>58333760.859999999</v>
      </c>
      <c r="AH61" s="52">
        <f>29166880.43+2434809.49+8462024.86+6355321.63+8660911.89+1628928.68+1600668.07+24215.81</f>
        <v>58333760.860000007</v>
      </c>
      <c r="AI61" s="52">
        <f t="shared" si="23"/>
        <v>-7.4505805969238281E-9</v>
      </c>
      <c r="AJ61" s="124">
        <v>0</v>
      </c>
      <c r="AK61" s="45">
        <v>0</v>
      </c>
      <c r="AL61" s="52">
        <f t="shared" si="19"/>
        <v>0</v>
      </c>
      <c r="AM61" s="52">
        <f t="shared" si="20"/>
        <v>59841644.369999997</v>
      </c>
      <c r="AN61" s="51">
        <f t="shared" si="21"/>
        <v>59841644.370000005</v>
      </c>
      <c r="AO61" s="51">
        <f t="shared" si="22"/>
        <v>0</v>
      </c>
      <c r="AP61" s="125" t="s">
        <v>424</v>
      </c>
      <c r="AQ61" s="52">
        <v>25143862.440000001</v>
      </c>
      <c r="AR61" s="51">
        <f>2098973.71+7294849.03+5478725.54+7466303.35+1404248.87+1379886.27</f>
        <v>25122986.770000003</v>
      </c>
      <c r="AS61" s="51">
        <f t="shared" si="14"/>
        <v>20875.669999998063</v>
      </c>
      <c r="AT61" s="126">
        <f t="shared" si="27"/>
        <v>-7.4505805969238281E-9</v>
      </c>
      <c r="AU61" s="48"/>
      <c r="AV61" s="46"/>
    </row>
    <row r="62" spans="1:48" ht="24.75" hidden="1" x14ac:dyDescent="0.2">
      <c r="A62" s="32">
        <v>639</v>
      </c>
      <c r="B62" s="105" t="s">
        <v>425</v>
      </c>
      <c r="C62" s="106"/>
      <c r="D62" s="107"/>
      <c r="E62" s="67" t="s">
        <v>426</v>
      </c>
      <c r="F62" s="67"/>
      <c r="G62" s="67" t="s">
        <v>427</v>
      </c>
      <c r="H62" s="33" t="s">
        <v>209</v>
      </c>
      <c r="I62" s="107">
        <v>6222</v>
      </c>
      <c r="J62" s="107"/>
      <c r="K62" s="39">
        <v>2.2999999999999998</v>
      </c>
      <c r="L62" s="40" t="s">
        <v>210</v>
      </c>
      <c r="M62" s="69" t="s">
        <v>75</v>
      </c>
      <c r="N62" s="42" t="s">
        <v>76</v>
      </c>
      <c r="O62" s="41" t="s">
        <v>77</v>
      </c>
      <c r="P62" s="46" t="s">
        <v>428</v>
      </c>
      <c r="Q62" s="62" t="s">
        <v>429</v>
      </c>
      <c r="R62" s="33" t="s">
        <v>430</v>
      </c>
      <c r="S62" s="45">
        <f t="shared" si="24"/>
        <v>983361.03</v>
      </c>
      <c r="T62" s="45">
        <v>983361.03</v>
      </c>
      <c r="U62" s="45">
        <v>0</v>
      </c>
      <c r="V62" s="109" t="s">
        <v>431</v>
      </c>
      <c r="W62" s="63">
        <v>41821</v>
      </c>
      <c r="X62" s="48"/>
      <c r="Y62" s="109" t="s">
        <v>234</v>
      </c>
      <c r="Z62" s="45"/>
      <c r="AA62" s="45"/>
      <c r="AB62" s="45">
        <f t="shared" si="18"/>
        <v>0</v>
      </c>
      <c r="AC62" s="48"/>
      <c r="AD62" s="63"/>
      <c r="AE62" s="51">
        <f t="shared" si="25"/>
        <v>0</v>
      </c>
      <c r="AF62" s="52">
        <f t="shared" si="26"/>
        <v>16667.140000000014</v>
      </c>
      <c r="AG62" s="52">
        <v>966693.89</v>
      </c>
      <c r="AH62" s="52">
        <f>290008.17+520123.25+156562.47</f>
        <v>966693.8899999999</v>
      </c>
      <c r="AI62" s="52">
        <f t="shared" si="23"/>
        <v>1.1641532182693481E-10</v>
      </c>
      <c r="AJ62" s="124">
        <v>0</v>
      </c>
      <c r="AK62" s="45">
        <v>0</v>
      </c>
      <c r="AL62" s="52">
        <f t="shared" si="19"/>
        <v>0</v>
      </c>
      <c r="AM62" s="52">
        <f t="shared" si="20"/>
        <v>966693.89</v>
      </c>
      <c r="AN62" s="51">
        <f t="shared" si="21"/>
        <v>966693.8899999999</v>
      </c>
      <c r="AO62" s="51">
        <f t="shared" si="22"/>
        <v>0</v>
      </c>
      <c r="AP62" s="125" t="s">
        <v>71</v>
      </c>
      <c r="AQ62" s="52">
        <v>250007.04000000001</v>
      </c>
      <c r="AR62" s="51">
        <f>192163.76+57843.28</f>
        <v>250007.04000000001</v>
      </c>
      <c r="AS62" s="51">
        <f t="shared" si="14"/>
        <v>0</v>
      </c>
      <c r="AT62" s="126">
        <f t="shared" si="27"/>
        <v>16667.14000000013</v>
      </c>
      <c r="AU62" s="48"/>
      <c r="AV62" s="46"/>
    </row>
    <row r="63" spans="1:48" ht="24.75" hidden="1" x14ac:dyDescent="0.2">
      <c r="A63" s="32">
        <v>639</v>
      </c>
      <c r="B63" s="105" t="s">
        <v>432</v>
      </c>
      <c r="C63" s="106"/>
      <c r="D63" s="107">
        <v>305</v>
      </c>
      <c r="E63" s="67" t="s">
        <v>433</v>
      </c>
      <c r="F63" s="67"/>
      <c r="G63" s="67"/>
      <c r="H63" s="33" t="s">
        <v>209</v>
      </c>
      <c r="I63" s="107">
        <v>6222</v>
      </c>
      <c r="J63" s="107"/>
      <c r="K63" s="39">
        <v>2.2999999999999998</v>
      </c>
      <c r="L63" s="40" t="s">
        <v>210</v>
      </c>
      <c r="M63" s="69" t="s">
        <v>75</v>
      </c>
      <c r="N63" s="42" t="s">
        <v>76</v>
      </c>
      <c r="O63" s="41" t="s">
        <v>77</v>
      </c>
      <c r="P63" s="46" t="s">
        <v>434</v>
      </c>
      <c r="Q63" s="62" t="s">
        <v>435</v>
      </c>
      <c r="R63" s="33" t="s">
        <v>436</v>
      </c>
      <c r="S63" s="45">
        <f t="shared" si="24"/>
        <v>549475</v>
      </c>
      <c r="T63" s="45">
        <v>549475</v>
      </c>
      <c r="U63" s="45">
        <v>0</v>
      </c>
      <c r="V63" s="109" t="s">
        <v>431</v>
      </c>
      <c r="W63" s="63">
        <v>41821</v>
      </c>
      <c r="X63" s="48"/>
      <c r="Y63" s="109" t="s">
        <v>234</v>
      </c>
      <c r="Z63" s="45"/>
      <c r="AA63" s="45"/>
      <c r="AB63" s="45">
        <f t="shared" si="18"/>
        <v>0</v>
      </c>
      <c r="AC63" s="48"/>
      <c r="AD63" s="63"/>
      <c r="AE63" s="51">
        <f t="shared" si="25"/>
        <v>0</v>
      </c>
      <c r="AF63" s="52">
        <f t="shared" si="26"/>
        <v>2558.5200000000186</v>
      </c>
      <c r="AG63" s="52">
        <v>546916.48</v>
      </c>
      <c r="AH63" s="52">
        <f>273458.24+219255.78+54202.46</f>
        <v>546916.48</v>
      </c>
      <c r="AI63" s="52">
        <f t="shared" si="23"/>
        <v>0</v>
      </c>
      <c r="AJ63" s="124">
        <v>0</v>
      </c>
      <c r="AK63" s="45">
        <v>0</v>
      </c>
      <c r="AL63" s="52">
        <f t="shared" si="19"/>
        <v>0</v>
      </c>
      <c r="AM63" s="52">
        <f t="shared" si="20"/>
        <v>546916.48</v>
      </c>
      <c r="AN63" s="51">
        <f t="shared" si="21"/>
        <v>546916.48</v>
      </c>
      <c r="AO63" s="51">
        <f t="shared" si="22"/>
        <v>0</v>
      </c>
      <c r="AP63" s="125" t="s">
        <v>146</v>
      </c>
      <c r="AQ63" s="52">
        <v>235739.86</v>
      </c>
      <c r="AR63" s="51">
        <f>189013.61+46726.25</f>
        <v>235739.86</v>
      </c>
      <c r="AS63" s="51">
        <f t="shared" si="14"/>
        <v>0</v>
      </c>
      <c r="AT63" s="126">
        <f t="shared" si="27"/>
        <v>2558.5200000000186</v>
      </c>
      <c r="AU63" s="48"/>
      <c r="AV63" s="46"/>
    </row>
    <row r="64" spans="1:48" ht="24.75" hidden="1" x14ac:dyDescent="0.2">
      <c r="A64" s="32">
        <v>639</v>
      </c>
      <c r="B64" s="105" t="s">
        <v>437</v>
      </c>
      <c r="C64" s="106"/>
      <c r="D64" s="107"/>
      <c r="E64" s="67" t="s">
        <v>438</v>
      </c>
      <c r="F64" s="67"/>
      <c r="G64" s="67"/>
      <c r="H64" s="33" t="s">
        <v>209</v>
      </c>
      <c r="I64" s="107">
        <v>6222</v>
      </c>
      <c r="J64" s="107"/>
      <c r="K64" s="39">
        <v>2.2999999999999998</v>
      </c>
      <c r="L64" s="40" t="s">
        <v>210</v>
      </c>
      <c r="M64" s="69" t="s">
        <v>75</v>
      </c>
      <c r="N64" s="42" t="s">
        <v>76</v>
      </c>
      <c r="O64" s="41" t="s">
        <v>77</v>
      </c>
      <c r="P64" s="46" t="s">
        <v>434</v>
      </c>
      <c r="Q64" s="62" t="s">
        <v>435</v>
      </c>
      <c r="R64" s="33" t="s">
        <v>439</v>
      </c>
      <c r="S64" s="45">
        <f t="shared" si="24"/>
        <v>312862.5</v>
      </c>
      <c r="T64" s="45">
        <v>312862.5</v>
      </c>
      <c r="U64" s="45">
        <v>0</v>
      </c>
      <c r="V64" s="109" t="s">
        <v>431</v>
      </c>
      <c r="W64" s="63">
        <v>41821</v>
      </c>
      <c r="X64" s="48"/>
      <c r="Y64" s="109" t="s">
        <v>234</v>
      </c>
      <c r="Z64" s="45"/>
      <c r="AA64" s="45"/>
      <c r="AB64" s="45">
        <f t="shared" si="18"/>
        <v>0</v>
      </c>
      <c r="AC64" s="48"/>
      <c r="AD64" s="63"/>
      <c r="AE64" s="51">
        <f t="shared" si="25"/>
        <v>0</v>
      </c>
      <c r="AF64" s="52">
        <f t="shared" si="26"/>
        <v>38907.130000000005</v>
      </c>
      <c r="AG64" s="52">
        <v>273955.37</v>
      </c>
      <c r="AH64" s="52">
        <v>273955.37</v>
      </c>
      <c r="AI64" s="52">
        <f t="shared" si="23"/>
        <v>0</v>
      </c>
      <c r="AJ64" s="124">
        <v>0</v>
      </c>
      <c r="AK64" s="45">
        <v>0</v>
      </c>
      <c r="AL64" s="52">
        <f t="shared" si="19"/>
        <v>0</v>
      </c>
      <c r="AM64" s="52">
        <f t="shared" si="20"/>
        <v>273955.37</v>
      </c>
      <c r="AN64" s="51">
        <f t="shared" si="21"/>
        <v>273955.37</v>
      </c>
      <c r="AO64" s="51">
        <f t="shared" si="22"/>
        <v>0</v>
      </c>
      <c r="AP64" s="125"/>
      <c r="AQ64" s="52">
        <v>0</v>
      </c>
      <c r="AR64" s="51">
        <v>0</v>
      </c>
      <c r="AS64" s="51">
        <f t="shared" si="14"/>
        <v>0</v>
      </c>
      <c r="AT64" s="126">
        <f t="shared" si="27"/>
        <v>38907.130000000005</v>
      </c>
      <c r="AU64" s="48"/>
      <c r="AV64" s="46"/>
    </row>
    <row r="65" spans="1:48" ht="33" hidden="1" x14ac:dyDescent="0.2">
      <c r="A65" s="32">
        <v>639</v>
      </c>
      <c r="B65" s="105" t="s">
        <v>440</v>
      </c>
      <c r="C65" s="106"/>
      <c r="D65" s="107"/>
      <c r="E65" s="67" t="s">
        <v>441</v>
      </c>
      <c r="F65" s="67"/>
      <c r="G65" s="67" t="s">
        <v>442</v>
      </c>
      <c r="H65" s="33" t="s">
        <v>209</v>
      </c>
      <c r="I65" s="107">
        <v>6222</v>
      </c>
      <c r="J65" s="107"/>
      <c r="K65" s="39">
        <v>2.2999999999999998</v>
      </c>
      <c r="L65" s="40" t="s">
        <v>210</v>
      </c>
      <c r="M65" s="69" t="s">
        <v>75</v>
      </c>
      <c r="N65" s="42" t="s">
        <v>76</v>
      </c>
      <c r="O65" s="41" t="s">
        <v>77</v>
      </c>
      <c r="P65" s="46" t="s">
        <v>443</v>
      </c>
      <c r="Q65" s="62" t="s">
        <v>444</v>
      </c>
      <c r="R65" s="33" t="s">
        <v>445</v>
      </c>
      <c r="S65" s="45">
        <f t="shared" si="24"/>
        <v>799587.46</v>
      </c>
      <c r="T65" s="45">
        <f>825007.95-25420.48-0.01</f>
        <v>799587.46</v>
      </c>
      <c r="U65" s="45">
        <v>0</v>
      </c>
      <c r="V65" s="109" t="s">
        <v>446</v>
      </c>
      <c r="W65" s="63">
        <v>41824</v>
      </c>
      <c r="X65" s="48"/>
      <c r="Y65" s="109" t="s">
        <v>234</v>
      </c>
      <c r="Z65" s="45"/>
      <c r="AA65" s="45"/>
      <c r="AB65" s="45">
        <f t="shared" si="18"/>
        <v>0</v>
      </c>
      <c r="AC65" s="48"/>
      <c r="AD65" s="63"/>
      <c r="AE65" s="51">
        <f t="shared" si="25"/>
        <v>0</v>
      </c>
      <c r="AF65" s="52">
        <f t="shared" si="26"/>
        <v>0</v>
      </c>
      <c r="AG65" s="52">
        <f>799587.47-0.01</f>
        <v>799587.46</v>
      </c>
      <c r="AH65" s="52">
        <f>239876.24+247670.31+162672.7+64801.86+84566.35</f>
        <v>799587.46</v>
      </c>
      <c r="AI65" s="52">
        <f t="shared" si="23"/>
        <v>0</v>
      </c>
      <c r="AJ65" s="124">
        <v>0</v>
      </c>
      <c r="AK65" s="45">
        <v>0</v>
      </c>
      <c r="AL65" s="52">
        <f t="shared" si="19"/>
        <v>0</v>
      </c>
      <c r="AM65" s="52">
        <f t="shared" si="20"/>
        <v>799587.46</v>
      </c>
      <c r="AN65" s="51">
        <f t="shared" si="21"/>
        <v>799587.46</v>
      </c>
      <c r="AO65" s="51">
        <f t="shared" si="22"/>
        <v>0</v>
      </c>
      <c r="AP65" s="125" t="s">
        <v>205</v>
      </c>
      <c r="AQ65" s="52">
        <v>206789.86</v>
      </c>
      <c r="AR65" s="51">
        <f>91503.81+60100.75+55185.3</f>
        <v>206789.86</v>
      </c>
      <c r="AS65" s="51">
        <f t="shared" si="14"/>
        <v>0</v>
      </c>
      <c r="AT65" s="126">
        <f t="shared" si="27"/>
        <v>0</v>
      </c>
      <c r="AU65" s="48"/>
      <c r="AV65" s="46"/>
    </row>
    <row r="66" spans="1:48" ht="24.75" hidden="1" x14ac:dyDescent="0.2">
      <c r="A66" s="32">
        <v>639</v>
      </c>
      <c r="B66" s="105" t="s">
        <v>447</v>
      </c>
      <c r="C66" s="106"/>
      <c r="D66" s="107">
        <v>264</v>
      </c>
      <c r="E66" s="67" t="s">
        <v>448</v>
      </c>
      <c r="F66" s="67"/>
      <c r="G66" s="67" t="s">
        <v>350</v>
      </c>
      <c r="H66" s="33" t="s">
        <v>209</v>
      </c>
      <c r="I66" s="107">
        <v>6222</v>
      </c>
      <c r="J66" s="107"/>
      <c r="K66" s="39">
        <v>2.2999999999999998</v>
      </c>
      <c r="L66" s="40" t="s">
        <v>210</v>
      </c>
      <c r="M66" s="69" t="s">
        <v>75</v>
      </c>
      <c r="N66" s="42" t="s">
        <v>76</v>
      </c>
      <c r="O66" s="41" t="s">
        <v>77</v>
      </c>
      <c r="P66" s="46" t="s">
        <v>229</v>
      </c>
      <c r="Q66" s="62" t="s">
        <v>449</v>
      </c>
      <c r="R66" s="33" t="s">
        <v>450</v>
      </c>
      <c r="S66" s="45">
        <f t="shared" si="24"/>
        <v>1539032.98</v>
      </c>
      <c r="T66" s="45">
        <v>1539032.98</v>
      </c>
      <c r="U66" s="45">
        <v>0</v>
      </c>
      <c r="V66" s="109" t="s">
        <v>446</v>
      </c>
      <c r="W66" s="63">
        <v>41824</v>
      </c>
      <c r="X66" s="48"/>
      <c r="Y66" s="109" t="s">
        <v>234</v>
      </c>
      <c r="Z66" s="45"/>
      <c r="AA66" s="45"/>
      <c r="AB66" s="45">
        <f t="shared" si="18"/>
        <v>0</v>
      </c>
      <c r="AC66" s="48"/>
      <c r="AD66" s="63"/>
      <c r="AE66" s="51">
        <f t="shared" si="25"/>
        <v>0</v>
      </c>
      <c r="AF66" s="52">
        <f t="shared" si="26"/>
        <v>51966.340000000084</v>
      </c>
      <c r="AG66" s="52">
        <v>1487066.64</v>
      </c>
      <c r="AH66" s="52">
        <f>446119.99+660074.65+380872</f>
        <v>1487066.6400000001</v>
      </c>
      <c r="AI66" s="52">
        <f t="shared" si="23"/>
        <v>-2.3283064365386963E-10</v>
      </c>
      <c r="AJ66" s="124">
        <v>0</v>
      </c>
      <c r="AK66" s="45">
        <v>0</v>
      </c>
      <c r="AL66" s="52">
        <f t="shared" si="19"/>
        <v>0</v>
      </c>
      <c r="AM66" s="52">
        <f t="shared" si="20"/>
        <v>1487066.64</v>
      </c>
      <c r="AN66" s="51">
        <f t="shared" si="21"/>
        <v>1487066.6400000001</v>
      </c>
      <c r="AO66" s="51">
        <f t="shared" si="22"/>
        <v>0</v>
      </c>
      <c r="AP66" s="125" t="s">
        <v>71</v>
      </c>
      <c r="AQ66" s="52">
        <v>384586.2</v>
      </c>
      <c r="AR66" s="51">
        <f>243869.94+140716.26</f>
        <v>384586.2</v>
      </c>
      <c r="AS66" s="51">
        <f t="shared" si="14"/>
        <v>0</v>
      </c>
      <c r="AT66" s="126">
        <f t="shared" si="27"/>
        <v>51966.339999999851</v>
      </c>
      <c r="AU66" s="48"/>
      <c r="AV66" s="46"/>
    </row>
    <row r="67" spans="1:48" ht="24.75" hidden="1" x14ac:dyDescent="0.2">
      <c r="A67" s="32">
        <v>639</v>
      </c>
      <c r="B67" s="105" t="s">
        <v>451</v>
      </c>
      <c r="C67" s="106"/>
      <c r="D67" s="107">
        <v>257</v>
      </c>
      <c r="E67" s="67" t="s">
        <v>452</v>
      </c>
      <c r="F67" s="67"/>
      <c r="G67" s="67" t="s">
        <v>414</v>
      </c>
      <c r="H67" s="33" t="s">
        <v>209</v>
      </c>
      <c r="I67" s="107">
        <v>6222</v>
      </c>
      <c r="J67" s="107"/>
      <c r="K67" s="39">
        <v>2.2999999999999998</v>
      </c>
      <c r="L67" s="40" t="s">
        <v>210</v>
      </c>
      <c r="M67" s="69" t="s">
        <v>75</v>
      </c>
      <c r="N67" s="42" t="s">
        <v>76</v>
      </c>
      <c r="O67" s="41" t="s">
        <v>77</v>
      </c>
      <c r="P67" s="46" t="s">
        <v>453</v>
      </c>
      <c r="Q67" s="62" t="s">
        <v>454</v>
      </c>
      <c r="R67" s="33" t="s">
        <v>455</v>
      </c>
      <c r="S67" s="45">
        <f t="shared" si="24"/>
        <v>942809.4</v>
      </c>
      <c r="T67" s="45">
        <v>942809.4</v>
      </c>
      <c r="U67" s="45">
        <v>0</v>
      </c>
      <c r="V67" s="109" t="s">
        <v>456</v>
      </c>
      <c r="W67" s="63">
        <v>41824</v>
      </c>
      <c r="X67" s="48"/>
      <c r="Y67" s="109" t="s">
        <v>234</v>
      </c>
      <c r="Z67" s="45"/>
      <c r="AA67" s="45"/>
      <c r="AB67" s="45">
        <f t="shared" si="18"/>
        <v>0</v>
      </c>
      <c r="AC67" s="48"/>
      <c r="AD67" s="63"/>
      <c r="AE67" s="51">
        <f t="shared" si="25"/>
        <v>0</v>
      </c>
      <c r="AF67" s="52">
        <f t="shared" si="26"/>
        <v>16307.310000000056</v>
      </c>
      <c r="AG67" s="52">
        <v>926502.09</v>
      </c>
      <c r="AH67" s="52">
        <f>277950.63+506606.8+141944.66</f>
        <v>926502.09</v>
      </c>
      <c r="AI67" s="52">
        <f t="shared" si="23"/>
        <v>0</v>
      </c>
      <c r="AJ67" s="124">
        <v>0</v>
      </c>
      <c r="AK67" s="45">
        <v>0</v>
      </c>
      <c r="AL67" s="52">
        <f t="shared" si="19"/>
        <v>0</v>
      </c>
      <c r="AM67" s="52">
        <f t="shared" si="20"/>
        <v>926502.09</v>
      </c>
      <c r="AN67" s="51">
        <f t="shared" si="21"/>
        <v>926502.09</v>
      </c>
      <c r="AO67" s="51">
        <f t="shared" si="22"/>
        <v>0</v>
      </c>
      <c r="AP67" s="125" t="s">
        <v>205</v>
      </c>
      <c r="AQ67" s="52">
        <v>239612.61</v>
      </c>
      <c r="AR67" s="51">
        <f>187170+52442.61</f>
        <v>239612.61</v>
      </c>
      <c r="AS67" s="51">
        <f t="shared" si="14"/>
        <v>0</v>
      </c>
      <c r="AT67" s="126">
        <f t="shared" si="27"/>
        <v>16307.310000000056</v>
      </c>
      <c r="AU67" s="48"/>
      <c r="AV67" s="46"/>
    </row>
    <row r="68" spans="1:48" ht="24.75" hidden="1" x14ac:dyDescent="0.2">
      <c r="A68" s="32">
        <v>639</v>
      </c>
      <c r="B68" s="105" t="s">
        <v>457</v>
      </c>
      <c r="C68" s="106"/>
      <c r="D68" s="107">
        <v>284</v>
      </c>
      <c r="E68" s="67" t="s">
        <v>458</v>
      </c>
      <c r="F68" s="67"/>
      <c r="G68" s="67" t="s">
        <v>414</v>
      </c>
      <c r="H68" s="33" t="s">
        <v>209</v>
      </c>
      <c r="I68" s="107">
        <v>6222</v>
      </c>
      <c r="J68" s="107"/>
      <c r="K68" s="39">
        <v>2.2999999999999998</v>
      </c>
      <c r="L68" s="40" t="s">
        <v>210</v>
      </c>
      <c r="M68" s="69" t="s">
        <v>75</v>
      </c>
      <c r="N68" s="42" t="s">
        <v>76</v>
      </c>
      <c r="O68" s="41" t="s">
        <v>77</v>
      </c>
      <c r="P68" s="46" t="s">
        <v>109</v>
      </c>
      <c r="Q68" s="62" t="s">
        <v>459</v>
      </c>
      <c r="R68" s="33" t="s">
        <v>460</v>
      </c>
      <c r="S68" s="45">
        <f t="shared" si="24"/>
        <v>1018281.35</v>
      </c>
      <c r="T68" s="45">
        <v>1018281.35</v>
      </c>
      <c r="U68" s="45">
        <v>0</v>
      </c>
      <c r="V68" s="109" t="s">
        <v>431</v>
      </c>
      <c r="W68" s="63">
        <v>41821</v>
      </c>
      <c r="X68" s="48"/>
      <c r="Y68" s="109" t="s">
        <v>234</v>
      </c>
      <c r="Z68" s="45"/>
      <c r="AA68" s="45"/>
      <c r="AB68" s="45">
        <f t="shared" si="18"/>
        <v>0</v>
      </c>
      <c r="AC68" s="48"/>
      <c r="AD68" s="63"/>
      <c r="AE68" s="51">
        <f t="shared" si="25"/>
        <v>0</v>
      </c>
      <c r="AF68" s="52">
        <f t="shared" si="26"/>
        <v>24170.260000000009</v>
      </c>
      <c r="AG68" s="52">
        <v>994111.09</v>
      </c>
      <c r="AH68" s="52">
        <f>298233.33+534931.95+160945.81</f>
        <v>994111.09000000008</v>
      </c>
      <c r="AI68" s="52">
        <f t="shared" si="23"/>
        <v>-1.1641532182693481E-10</v>
      </c>
      <c r="AJ68" s="124">
        <v>0</v>
      </c>
      <c r="AK68" s="45">
        <v>0</v>
      </c>
      <c r="AL68" s="52">
        <f t="shared" si="19"/>
        <v>0</v>
      </c>
      <c r="AM68" s="52">
        <f t="shared" si="20"/>
        <v>994111.09</v>
      </c>
      <c r="AN68" s="51">
        <f t="shared" si="21"/>
        <v>994111.09000000008</v>
      </c>
      <c r="AO68" s="51">
        <f t="shared" si="22"/>
        <v>0</v>
      </c>
      <c r="AP68" s="125" t="s">
        <v>205</v>
      </c>
      <c r="AQ68" s="52">
        <v>257097.7</v>
      </c>
      <c r="AR68" s="51">
        <f>197634.95+59462.75</f>
        <v>257097.7</v>
      </c>
      <c r="AS68" s="51">
        <f t="shared" si="14"/>
        <v>0</v>
      </c>
      <c r="AT68" s="126">
        <f t="shared" si="27"/>
        <v>24170.259999999893</v>
      </c>
      <c r="AU68" s="48"/>
      <c r="AV68" s="46"/>
    </row>
    <row r="69" spans="1:48" ht="24.75" hidden="1" x14ac:dyDescent="0.2">
      <c r="A69" s="32">
        <v>639</v>
      </c>
      <c r="B69" s="105" t="s">
        <v>461</v>
      </c>
      <c r="C69" s="106"/>
      <c r="D69" s="107">
        <v>285</v>
      </c>
      <c r="E69" s="67" t="s">
        <v>462</v>
      </c>
      <c r="F69" s="67"/>
      <c r="G69" s="67" t="s">
        <v>442</v>
      </c>
      <c r="H69" s="33" t="s">
        <v>209</v>
      </c>
      <c r="I69" s="107">
        <v>6222</v>
      </c>
      <c r="J69" s="107"/>
      <c r="K69" s="39">
        <v>2.2999999999999998</v>
      </c>
      <c r="L69" s="40" t="s">
        <v>210</v>
      </c>
      <c r="M69" s="69" t="s">
        <v>75</v>
      </c>
      <c r="N69" s="42" t="s">
        <v>76</v>
      </c>
      <c r="O69" s="41" t="s">
        <v>77</v>
      </c>
      <c r="P69" s="46" t="s">
        <v>443</v>
      </c>
      <c r="Q69" s="62" t="s">
        <v>463</v>
      </c>
      <c r="R69" s="33" t="s">
        <v>464</v>
      </c>
      <c r="S69" s="45">
        <f t="shared" si="24"/>
        <v>1037824.23</v>
      </c>
      <c r="T69" s="45">
        <f>1067436.77-29612.54</f>
        <v>1037824.23</v>
      </c>
      <c r="U69" s="45">
        <v>0</v>
      </c>
      <c r="V69" s="109" t="s">
        <v>431</v>
      </c>
      <c r="W69" s="63">
        <v>41821</v>
      </c>
      <c r="X69" s="48"/>
      <c r="Y69" s="109" t="s">
        <v>234</v>
      </c>
      <c r="Z69" s="45"/>
      <c r="AA69" s="45"/>
      <c r="AB69" s="45">
        <f t="shared" si="18"/>
        <v>0</v>
      </c>
      <c r="AC69" s="48"/>
      <c r="AD69" s="63"/>
      <c r="AE69" s="51">
        <f t="shared" si="25"/>
        <v>0</v>
      </c>
      <c r="AF69" s="52">
        <f t="shared" si="26"/>
        <v>0</v>
      </c>
      <c r="AG69" s="52">
        <v>1037824.23</v>
      </c>
      <c r="AH69" s="52">
        <f>311347.27+212812.18+277039.96+115219.53+121405.29</f>
        <v>1037824.2300000001</v>
      </c>
      <c r="AI69" s="52">
        <f t="shared" si="23"/>
        <v>-1.1641532182693481E-10</v>
      </c>
      <c r="AJ69" s="124">
        <v>0</v>
      </c>
      <c r="AK69" s="45">
        <v>0</v>
      </c>
      <c r="AL69" s="52">
        <f t="shared" si="19"/>
        <v>0</v>
      </c>
      <c r="AM69" s="52">
        <f t="shared" si="20"/>
        <v>1037824.23</v>
      </c>
      <c r="AN69" s="51">
        <f t="shared" si="21"/>
        <v>1037824.2300000001</v>
      </c>
      <c r="AO69" s="51">
        <f t="shared" si="22"/>
        <v>0</v>
      </c>
      <c r="AP69" s="125" t="s">
        <v>336</v>
      </c>
      <c r="AQ69" s="52">
        <v>268402.82</v>
      </c>
      <c r="AR69" s="51">
        <f>78625.19+102354.67+87422.96</f>
        <v>268402.82</v>
      </c>
      <c r="AS69" s="51">
        <f t="shared" si="14"/>
        <v>0</v>
      </c>
      <c r="AT69" s="126">
        <f t="shared" si="27"/>
        <v>-1.1641532182693481E-10</v>
      </c>
      <c r="AU69" s="48"/>
      <c r="AV69" s="46"/>
    </row>
    <row r="70" spans="1:48" ht="24.75" hidden="1" x14ac:dyDescent="0.2">
      <c r="A70" s="32">
        <v>639</v>
      </c>
      <c r="B70" s="105" t="s">
        <v>465</v>
      </c>
      <c r="C70" s="106"/>
      <c r="D70" s="107"/>
      <c r="E70" s="67" t="s">
        <v>466</v>
      </c>
      <c r="F70" s="67"/>
      <c r="G70" s="67" t="s">
        <v>243</v>
      </c>
      <c r="H70" s="33" t="s">
        <v>209</v>
      </c>
      <c r="I70" s="107">
        <v>6222</v>
      </c>
      <c r="J70" s="107"/>
      <c r="K70" s="39">
        <v>2.2999999999999998</v>
      </c>
      <c r="L70" s="40" t="s">
        <v>210</v>
      </c>
      <c r="M70" s="69" t="s">
        <v>75</v>
      </c>
      <c r="N70" s="42" t="s">
        <v>76</v>
      </c>
      <c r="O70" s="41" t="s">
        <v>77</v>
      </c>
      <c r="P70" s="48" t="s">
        <v>334</v>
      </c>
      <c r="Q70" s="62" t="s">
        <v>467</v>
      </c>
      <c r="R70" s="33" t="s">
        <v>468</v>
      </c>
      <c r="S70" s="45">
        <f t="shared" si="24"/>
        <v>293850.46999999997</v>
      </c>
      <c r="T70" s="45">
        <v>293850.46999999997</v>
      </c>
      <c r="U70" s="45">
        <v>0</v>
      </c>
      <c r="V70" s="109" t="s">
        <v>431</v>
      </c>
      <c r="W70" s="63">
        <v>41821</v>
      </c>
      <c r="X70" s="48"/>
      <c r="Y70" s="109" t="s">
        <v>234</v>
      </c>
      <c r="Z70" s="45"/>
      <c r="AA70" s="45"/>
      <c r="AB70" s="45">
        <f t="shared" si="18"/>
        <v>0</v>
      </c>
      <c r="AC70" s="48"/>
      <c r="AD70" s="63"/>
      <c r="AE70" s="51">
        <f t="shared" si="25"/>
        <v>0</v>
      </c>
      <c r="AF70" s="52">
        <f t="shared" si="26"/>
        <v>6580.4799999999814</v>
      </c>
      <c r="AG70" s="52">
        <v>287269.99</v>
      </c>
      <c r="AH70" s="52">
        <v>86180.99</v>
      </c>
      <c r="AI70" s="52">
        <f t="shared" si="23"/>
        <v>201089</v>
      </c>
      <c r="AJ70" s="124">
        <v>0</v>
      </c>
      <c r="AK70" s="45">
        <v>0</v>
      </c>
      <c r="AL70" s="52">
        <f t="shared" si="19"/>
        <v>0</v>
      </c>
      <c r="AM70" s="52">
        <f t="shared" si="20"/>
        <v>287269.99</v>
      </c>
      <c r="AN70" s="51">
        <f t="shared" si="21"/>
        <v>86180.99</v>
      </c>
      <c r="AO70" s="51">
        <f t="shared" si="22"/>
        <v>201089</v>
      </c>
      <c r="AP70" s="125" t="s">
        <v>105</v>
      </c>
      <c r="AQ70" s="52">
        <v>74293.960000000006</v>
      </c>
      <c r="AR70" s="51"/>
      <c r="AS70" s="51">
        <f t="shared" si="14"/>
        <v>74293.960000000006</v>
      </c>
      <c r="AT70" s="51">
        <f t="shared" si="27"/>
        <v>207669.47999999998</v>
      </c>
      <c r="AU70" s="48"/>
      <c r="AV70" s="46"/>
    </row>
    <row r="71" spans="1:48" ht="24.75" hidden="1" x14ac:dyDescent="0.2">
      <c r="A71" s="32">
        <v>639</v>
      </c>
      <c r="B71" s="105" t="s">
        <v>469</v>
      </c>
      <c r="C71" s="106"/>
      <c r="D71" s="107">
        <v>267</v>
      </c>
      <c r="E71" s="67" t="s">
        <v>470</v>
      </c>
      <c r="F71" s="67"/>
      <c r="G71" s="67" t="s">
        <v>414</v>
      </c>
      <c r="H71" s="33" t="s">
        <v>209</v>
      </c>
      <c r="I71" s="107">
        <v>6222</v>
      </c>
      <c r="J71" s="107"/>
      <c r="K71" s="39">
        <v>2.2999999999999998</v>
      </c>
      <c r="L71" s="40" t="s">
        <v>210</v>
      </c>
      <c r="M71" s="69" t="s">
        <v>75</v>
      </c>
      <c r="N71" s="42" t="s">
        <v>76</v>
      </c>
      <c r="O71" s="41" t="s">
        <v>77</v>
      </c>
      <c r="P71" s="46" t="s">
        <v>141</v>
      </c>
      <c r="Q71" s="62" t="s">
        <v>471</v>
      </c>
      <c r="R71" s="33" t="s">
        <v>472</v>
      </c>
      <c r="S71" s="45">
        <f t="shared" si="24"/>
        <v>730662.61</v>
      </c>
      <c r="T71" s="45">
        <v>730662.61</v>
      </c>
      <c r="U71" s="45">
        <v>0</v>
      </c>
      <c r="V71" s="109" t="s">
        <v>431</v>
      </c>
      <c r="W71" s="63">
        <v>41821</v>
      </c>
      <c r="X71" s="48"/>
      <c r="Y71" s="109" t="s">
        <v>234</v>
      </c>
      <c r="Z71" s="45"/>
      <c r="AA71" s="45"/>
      <c r="AB71" s="45">
        <f t="shared" si="18"/>
        <v>0</v>
      </c>
      <c r="AC71" s="48"/>
      <c r="AD71" s="63"/>
      <c r="AE71" s="51">
        <f t="shared" si="25"/>
        <v>0</v>
      </c>
      <c r="AF71" s="52">
        <f t="shared" si="26"/>
        <v>20209.609999999986</v>
      </c>
      <c r="AG71" s="52">
        <v>710453</v>
      </c>
      <c r="AH71" s="52">
        <f>213135.89+378662.34+118654.76</f>
        <v>710452.99</v>
      </c>
      <c r="AI71" s="52">
        <f t="shared" si="23"/>
        <v>1.0000000009313226E-2</v>
      </c>
      <c r="AJ71" s="124">
        <v>0</v>
      </c>
      <c r="AK71" s="45">
        <v>0</v>
      </c>
      <c r="AL71" s="52">
        <f t="shared" si="19"/>
        <v>0</v>
      </c>
      <c r="AM71" s="52">
        <f t="shared" si="20"/>
        <v>710453</v>
      </c>
      <c r="AN71" s="51">
        <f t="shared" si="21"/>
        <v>710452.99</v>
      </c>
      <c r="AO71" s="51">
        <f t="shared" si="22"/>
        <v>1.0000000009313226E-2</v>
      </c>
      <c r="AP71" s="125" t="s">
        <v>336</v>
      </c>
      <c r="AQ71" s="52">
        <v>183737.84</v>
      </c>
      <c r="AR71" s="51">
        <f>139899.88+43837.96</f>
        <v>183737.84</v>
      </c>
      <c r="AS71" s="51">
        <f t="shared" si="14"/>
        <v>0</v>
      </c>
      <c r="AT71" s="126">
        <f t="shared" si="27"/>
        <v>20209.619999999995</v>
      </c>
      <c r="AU71" s="48"/>
      <c r="AV71" s="46"/>
    </row>
    <row r="72" spans="1:48" ht="24.75" hidden="1" x14ac:dyDescent="0.2">
      <c r="A72" s="32">
        <v>639</v>
      </c>
      <c r="B72" s="105" t="s">
        <v>473</v>
      </c>
      <c r="C72" s="106"/>
      <c r="D72" s="107"/>
      <c r="E72" s="67" t="s">
        <v>474</v>
      </c>
      <c r="F72" s="67"/>
      <c r="G72" s="67" t="s">
        <v>262</v>
      </c>
      <c r="H72" s="33" t="s">
        <v>209</v>
      </c>
      <c r="I72" s="107">
        <v>6222</v>
      </c>
      <c r="J72" s="107"/>
      <c r="K72" s="39">
        <v>2.2999999999999998</v>
      </c>
      <c r="L72" s="40" t="s">
        <v>210</v>
      </c>
      <c r="M72" s="69" t="s">
        <v>75</v>
      </c>
      <c r="N72" s="42" t="s">
        <v>76</v>
      </c>
      <c r="O72" s="41" t="s">
        <v>77</v>
      </c>
      <c r="P72" s="46" t="s">
        <v>104</v>
      </c>
      <c r="Q72" s="62" t="s">
        <v>475</v>
      </c>
      <c r="R72" s="33" t="s">
        <v>476</v>
      </c>
      <c r="S72" s="45">
        <f t="shared" si="24"/>
        <v>1294897.23</v>
      </c>
      <c r="T72" s="45">
        <v>1294897.23</v>
      </c>
      <c r="U72" s="45">
        <v>0</v>
      </c>
      <c r="V72" s="109" t="s">
        <v>431</v>
      </c>
      <c r="W72" s="63">
        <v>41821</v>
      </c>
      <c r="X72" s="48"/>
      <c r="Y72" s="109" t="s">
        <v>234</v>
      </c>
      <c r="Z72" s="45"/>
      <c r="AA72" s="45"/>
      <c r="AB72" s="45">
        <f t="shared" si="18"/>
        <v>0</v>
      </c>
      <c r="AC72" s="48"/>
      <c r="AD72" s="63"/>
      <c r="AE72" s="51">
        <f t="shared" si="25"/>
        <v>0</v>
      </c>
      <c r="AF72" s="52">
        <f t="shared" si="26"/>
        <v>22050.979999999981</v>
      </c>
      <c r="AG72" s="52">
        <v>1272846.25</v>
      </c>
      <c r="AH72" s="52">
        <f>636423.12+423161.85+149604.71+63656.57</f>
        <v>1272846.25</v>
      </c>
      <c r="AI72" s="52">
        <f t="shared" si="23"/>
        <v>0</v>
      </c>
      <c r="AJ72" s="124">
        <v>0</v>
      </c>
      <c r="AK72" s="45">
        <v>0</v>
      </c>
      <c r="AL72" s="52">
        <f t="shared" si="19"/>
        <v>0</v>
      </c>
      <c r="AM72" s="52">
        <f t="shared" si="20"/>
        <v>1272846.25</v>
      </c>
      <c r="AN72" s="51">
        <f t="shared" si="21"/>
        <v>1272846.25</v>
      </c>
      <c r="AO72" s="51">
        <f t="shared" si="22"/>
        <v>0</v>
      </c>
      <c r="AP72" s="125" t="s">
        <v>477</v>
      </c>
      <c r="AQ72" s="52">
        <v>548640.62</v>
      </c>
      <c r="AR72" s="51">
        <f>364794.7+128969.58+54876.34</f>
        <v>548640.62</v>
      </c>
      <c r="AS72" s="51">
        <f t="shared" si="14"/>
        <v>0</v>
      </c>
      <c r="AT72" s="126">
        <f t="shared" si="27"/>
        <v>22050.979999999981</v>
      </c>
      <c r="AU72" s="48" t="s">
        <v>478</v>
      </c>
      <c r="AV72" s="46"/>
    </row>
    <row r="73" spans="1:48" ht="24.75" hidden="1" x14ac:dyDescent="0.2">
      <c r="A73" s="32">
        <v>639</v>
      </c>
      <c r="B73" s="105" t="s">
        <v>479</v>
      </c>
      <c r="C73" s="106"/>
      <c r="D73" s="107">
        <v>266</v>
      </c>
      <c r="E73" s="67" t="s">
        <v>480</v>
      </c>
      <c r="F73" s="67"/>
      <c r="G73" s="67" t="s">
        <v>350</v>
      </c>
      <c r="H73" s="33" t="s">
        <v>209</v>
      </c>
      <c r="I73" s="107">
        <v>6222</v>
      </c>
      <c r="J73" s="107"/>
      <c r="K73" s="39">
        <v>2.2999999999999998</v>
      </c>
      <c r="L73" s="40" t="s">
        <v>210</v>
      </c>
      <c r="M73" s="69" t="s">
        <v>75</v>
      </c>
      <c r="N73" s="42" t="s">
        <v>76</v>
      </c>
      <c r="O73" s="41" t="s">
        <v>77</v>
      </c>
      <c r="P73" s="46" t="s">
        <v>229</v>
      </c>
      <c r="Q73" s="62" t="s">
        <v>481</v>
      </c>
      <c r="R73" s="33" t="s">
        <v>482</v>
      </c>
      <c r="S73" s="45">
        <f t="shared" si="24"/>
        <v>731780.95</v>
      </c>
      <c r="T73" s="45">
        <v>731780.95</v>
      </c>
      <c r="U73" s="45">
        <v>0</v>
      </c>
      <c r="V73" s="109" t="s">
        <v>431</v>
      </c>
      <c r="W73" s="63">
        <v>41821</v>
      </c>
      <c r="X73" s="48"/>
      <c r="Y73" s="109" t="s">
        <v>234</v>
      </c>
      <c r="Z73" s="45"/>
      <c r="AA73" s="45"/>
      <c r="AB73" s="45">
        <f t="shared" si="18"/>
        <v>0</v>
      </c>
      <c r="AC73" s="48"/>
      <c r="AD73" s="63"/>
      <c r="AE73" s="51">
        <f t="shared" si="25"/>
        <v>0</v>
      </c>
      <c r="AF73" s="52">
        <f t="shared" si="26"/>
        <v>19997.209999999963</v>
      </c>
      <c r="AG73" s="52">
        <v>711783.74</v>
      </c>
      <c r="AH73" s="52">
        <f>213535.12+409836.67+88411.95</f>
        <v>711783.74</v>
      </c>
      <c r="AI73" s="52">
        <f t="shared" si="23"/>
        <v>0</v>
      </c>
      <c r="AJ73" s="124">
        <v>0</v>
      </c>
      <c r="AK73" s="45">
        <v>0</v>
      </c>
      <c r="AL73" s="52">
        <f t="shared" si="19"/>
        <v>0</v>
      </c>
      <c r="AM73" s="52">
        <f t="shared" si="20"/>
        <v>711783.74</v>
      </c>
      <c r="AN73" s="51">
        <f t="shared" si="21"/>
        <v>711783.74</v>
      </c>
      <c r="AO73" s="51">
        <f t="shared" si="22"/>
        <v>0</v>
      </c>
      <c r="AP73" s="125" t="s">
        <v>205</v>
      </c>
      <c r="AQ73" s="52">
        <v>184082</v>
      </c>
      <c r="AR73" s="51">
        <f>151417.49+32664.51</f>
        <v>184082</v>
      </c>
      <c r="AS73" s="51">
        <f t="shared" si="14"/>
        <v>0</v>
      </c>
      <c r="AT73" s="126">
        <f t="shared" si="27"/>
        <v>19997.209999999963</v>
      </c>
      <c r="AU73" s="48"/>
      <c r="AV73" s="46"/>
    </row>
    <row r="74" spans="1:48" ht="24.75" hidden="1" x14ac:dyDescent="0.2">
      <c r="A74" s="32">
        <v>639</v>
      </c>
      <c r="B74" s="105" t="s">
        <v>483</v>
      </c>
      <c r="C74" s="106"/>
      <c r="D74" s="107"/>
      <c r="E74" s="67" t="s">
        <v>484</v>
      </c>
      <c r="F74" s="67"/>
      <c r="G74" s="67" t="s">
        <v>427</v>
      </c>
      <c r="H74" s="33" t="s">
        <v>209</v>
      </c>
      <c r="I74" s="107">
        <v>6222</v>
      </c>
      <c r="J74" s="107"/>
      <c r="K74" s="39">
        <v>2.2999999999999998</v>
      </c>
      <c r="L74" s="40" t="s">
        <v>210</v>
      </c>
      <c r="M74" s="69" t="s">
        <v>75</v>
      </c>
      <c r="N74" s="42" t="s">
        <v>76</v>
      </c>
      <c r="O74" s="41" t="s">
        <v>77</v>
      </c>
      <c r="P74" s="46" t="s">
        <v>428</v>
      </c>
      <c r="Q74" s="62" t="s">
        <v>485</v>
      </c>
      <c r="R74" s="33" t="s">
        <v>486</v>
      </c>
      <c r="S74" s="45">
        <f t="shared" si="24"/>
        <v>772085.6</v>
      </c>
      <c r="T74" s="45">
        <v>772085.6</v>
      </c>
      <c r="U74" s="45">
        <v>0</v>
      </c>
      <c r="V74" s="109" t="s">
        <v>431</v>
      </c>
      <c r="W74" s="63">
        <v>41821</v>
      </c>
      <c r="X74" s="48"/>
      <c r="Y74" s="109" t="s">
        <v>234</v>
      </c>
      <c r="Z74" s="45"/>
      <c r="AA74" s="45"/>
      <c r="AB74" s="45">
        <f t="shared" si="18"/>
        <v>0</v>
      </c>
      <c r="AC74" s="48"/>
      <c r="AD74" s="63"/>
      <c r="AE74" s="51">
        <f t="shared" si="25"/>
        <v>0</v>
      </c>
      <c r="AF74" s="52">
        <f t="shared" si="26"/>
        <v>13086.199999999953</v>
      </c>
      <c r="AG74" s="52">
        <v>758999.4</v>
      </c>
      <c r="AH74" s="52">
        <f>227699.82+399547.72+131751.86</f>
        <v>758999.4</v>
      </c>
      <c r="AI74" s="52">
        <f t="shared" si="23"/>
        <v>0</v>
      </c>
      <c r="AJ74" s="124">
        <v>0</v>
      </c>
      <c r="AK74" s="45">
        <v>0</v>
      </c>
      <c r="AL74" s="52">
        <f t="shared" si="19"/>
        <v>0</v>
      </c>
      <c r="AM74" s="52">
        <f t="shared" si="20"/>
        <v>758999.4</v>
      </c>
      <c r="AN74" s="51">
        <f t="shared" si="21"/>
        <v>758999.4</v>
      </c>
      <c r="AO74" s="51">
        <f t="shared" si="22"/>
        <v>0</v>
      </c>
      <c r="AP74" s="125" t="s">
        <v>71</v>
      </c>
      <c r="AQ74" s="52">
        <v>196292.95</v>
      </c>
      <c r="AR74" s="51">
        <f>147616.16+48676.79</f>
        <v>196292.95</v>
      </c>
      <c r="AS74" s="51">
        <f t="shared" ref="AS74:AS134" si="28">SUM(AQ74-AR74)</f>
        <v>0</v>
      </c>
      <c r="AT74" s="126">
        <f t="shared" si="27"/>
        <v>13086.199999999953</v>
      </c>
      <c r="AU74" s="48"/>
      <c r="AV74" s="46"/>
    </row>
    <row r="75" spans="1:48" ht="24.75" hidden="1" x14ac:dyDescent="0.2">
      <c r="A75" s="32">
        <v>639</v>
      </c>
      <c r="B75" s="105" t="s">
        <v>487</v>
      </c>
      <c r="C75" s="106"/>
      <c r="D75" s="107">
        <v>280</v>
      </c>
      <c r="E75" s="67" t="s">
        <v>488</v>
      </c>
      <c r="F75" s="67"/>
      <c r="G75" s="67" t="s">
        <v>350</v>
      </c>
      <c r="H75" s="33" t="s">
        <v>209</v>
      </c>
      <c r="I75" s="107">
        <v>6222</v>
      </c>
      <c r="J75" s="107"/>
      <c r="K75" s="39">
        <v>2.2999999999999998</v>
      </c>
      <c r="L75" s="40" t="s">
        <v>210</v>
      </c>
      <c r="M75" s="69" t="s">
        <v>75</v>
      </c>
      <c r="N75" s="42" t="s">
        <v>76</v>
      </c>
      <c r="O75" s="41" t="s">
        <v>77</v>
      </c>
      <c r="P75" s="46" t="s">
        <v>229</v>
      </c>
      <c r="Q75" s="62" t="s">
        <v>489</v>
      </c>
      <c r="R75" s="33" t="s">
        <v>490</v>
      </c>
      <c r="S75" s="45">
        <f t="shared" si="24"/>
        <v>1433241.78</v>
      </c>
      <c r="T75" s="45">
        <v>1433241.78</v>
      </c>
      <c r="U75" s="45">
        <v>0</v>
      </c>
      <c r="V75" s="109" t="s">
        <v>446</v>
      </c>
      <c r="W75" s="63">
        <v>41824</v>
      </c>
      <c r="X75" s="48"/>
      <c r="Y75" s="109" t="s">
        <v>234</v>
      </c>
      <c r="Z75" s="45"/>
      <c r="AA75" s="45"/>
      <c r="AB75" s="45">
        <f t="shared" si="18"/>
        <v>0</v>
      </c>
      <c r="AC75" s="48"/>
      <c r="AD75" s="63"/>
      <c r="AE75" s="51">
        <f t="shared" si="25"/>
        <v>0</v>
      </c>
      <c r="AF75" s="52">
        <f t="shared" si="26"/>
        <v>58259.469999999972</v>
      </c>
      <c r="AG75" s="52">
        <v>1374982.31</v>
      </c>
      <c r="AH75" s="52">
        <f>412494.69+634447.49+328040.13</f>
        <v>1374982.31</v>
      </c>
      <c r="AI75" s="52">
        <f t="shared" si="23"/>
        <v>0</v>
      </c>
      <c r="AJ75" s="124">
        <v>0</v>
      </c>
      <c r="AK75" s="45">
        <v>0</v>
      </c>
      <c r="AL75" s="52">
        <f t="shared" si="19"/>
        <v>0</v>
      </c>
      <c r="AM75" s="52">
        <f t="shared" si="20"/>
        <v>1374982.31</v>
      </c>
      <c r="AN75" s="51">
        <f t="shared" si="21"/>
        <v>1374982.31</v>
      </c>
      <c r="AO75" s="51">
        <f t="shared" si="22"/>
        <v>0</v>
      </c>
      <c r="AP75" s="125" t="s">
        <v>333</v>
      </c>
      <c r="AQ75" s="52">
        <v>355598.87</v>
      </c>
      <c r="AR75" s="51">
        <f>234401.78+121197.09</f>
        <v>355598.87</v>
      </c>
      <c r="AS75" s="51">
        <f t="shared" si="28"/>
        <v>0</v>
      </c>
      <c r="AT75" s="126">
        <f t="shared" si="27"/>
        <v>58259.469999999972</v>
      </c>
      <c r="AU75" s="48"/>
      <c r="AV75" s="46"/>
    </row>
    <row r="76" spans="1:48" ht="24.75" hidden="1" x14ac:dyDescent="0.2">
      <c r="A76" s="32">
        <v>639</v>
      </c>
      <c r="B76" s="105" t="s">
        <v>491</v>
      </c>
      <c r="C76" s="106"/>
      <c r="D76" s="107" t="s">
        <v>27</v>
      </c>
      <c r="E76" s="67" t="s">
        <v>492</v>
      </c>
      <c r="F76" s="67"/>
      <c r="G76" s="67"/>
      <c r="H76" s="105"/>
      <c r="I76" s="107">
        <v>6291</v>
      </c>
      <c r="J76" s="107"/>
      <c r="K76" s="39">
        <v>1</v>
      </c>
      <c r="L76" s="40" t="s">
        <v>137</v>
      </c>
      <c r="M76" s="69" t="s">
        <v>108</v>
      </c>
      <c r="N76" s="62" t="s">
        <v>493</v>
      </c>
      <c r="O76" s="41" t="s">
        <v>77</v>
      </c>
      <c r="P76" s="46" t="s">
        <v>206</v>
      </c>
      <c r="Q76" s="62" t="s">
        <v>494</v>
      </c>
      <c r="R76" s="33" t="s">
        <v>495</v>
      </c>
      <c r="S76" s="45">
        <f t="shared" si="24"/>
        <v>1000000</v>
      </c>
      <c r="T76" s="45">
        <v>1000000</v>
      </c>
      <c r="U76" s="45">
        <v>0</v>
      </c>
      <c r="V76" s="109" t="s">
        <v>496</v>
      </c>
      <c r="W76" s="63">
        <v>41824</v>
      </c>
      <c r="X76" s="48"/>
      <c r="Y76" s="109" t="s">
        <v>234</v>
      </c>
      <c r="Z76" s="45"/>
      <c r="AA76" s="45"/>
      <c r="AB76" s="45">
        <f t="shared" si="18"/>
        <v>0</v>
      </c>
      <c r="AC76" s="48"/>
      <c r="AD76" s="63"/>
      <c r="AE76" s="51">
        <f t="shared" si="25"/>
        <v>0</v>
      </c>
      <c r="AF76" s="52">
        <f t="shared" si="26"/>
        <v>117.76000000000931</v>
      </c>
      <c r="AG76" s="52">
        <v>999882.23999999999</v>
      </c>
      <c r="AH76" s="52">
        <v>999882.23999999999</v>
      </c>
      <c r="AI76" s="52">
        <f t="shared" si="23"/>
        <v>0</v>
      </c>
      <c r="AJ76" s="124">
        <v>0</v>
      </c>
      <c r="AK76" s="45">
        <v>0</v>
      </c>
      <c r="AL76" s="52">
        <f t="shared" si="19"/>
        <v>0</v>
      </c>
      <c r="AM76" s="52">
        <f t="shared" si="20"/>
        <v>999882.23999999999</v>
      </c>
      <c r="AN76" s="51">
        <f t="shared" si="21"/>
        <v>999882.23999999999</v>
      </c>
      <c r="AO76" s="51">
        <f t="shared" si="22"/>
        <v>0</v>
      </c>
      <c r="AP76" s="125" t="s">
        <v>283</v>
      </c>
      <c r="AQ76" s="52"/>
      <c r="AR76" s="51"/>
      <c r="AS76" s="51">
        <f t="shared" si="28"/>
        <v>0</v>
      </c>
      <c r="AT76" s="51">
        <f t="shared" si="27"/>
        <v>117.76000000000931</v>
      </c>
      <c r="AU76" s="48"/>
      <c r="AV76" s="46"/>
    </row>
    <row r="77" spans="1:48" ht="24.75" hidden="1" x14ac:dyDescent="0.2">
      <c r="A77" s="32">
        <v>639</v>
      </c>
      <c r="B77" s="105" t="s">
        <v>497</v>
      </c>
      <c r="C77" s="106"/>
      <c r="D77" s="107"/>
      <c r="E77" s="67" t="s">
        <v>498</v>
      </c>
      <c r="F77" s="67"/>
      <c r="G77" s="67" t="s">
        <v>103</v>
      </c>
      <c r="H77" s="33" t="s">
        <v>209</v>
      </c>
      <c r="I77" s="107">
        <v>6222</v>
      </c>
      <c r="J77" s="107"/>
      <c r="K77" s="39">
        <v>2.2999999999999998</v>
      </c>
      <c r="L77" s="40" t="s">
        <v>210</v>
      </c>
      <c r="M77" s="69" t="s">
        <v>75</v>
      </c>
      <c r="N77" s="42" t="s">
        <v>76</v>
      </c>
      <c r="O77" s="41" t="s">
        <v>77</v>
      </c>
      <c r="P77" s="46" t="s">
        <v>104</v>
      </c>
      <c r="Q77" s="62" t="s">
        <v>499</v>
      </c>
      <c r="R77" s="33" t="s">
        <v>500</v>
      </c>
      <c r="S77" s="45">
        <f t="shared" si="24"/>
        <v>1599134.58</v>
      </c>
      <c r="T77" s="45">
        <v>1599134.58</v>
      </c>
      <c r="U77" s="45">
        <v>0</v>
      </c>
      <c r="V77" s="109" t="s">
        <v>431</v>
      </c>
      <c r="W77" s="63">
        <v>41821</v>
      </c>
      <c r="X77" s="48"/>
      <c r="Y77" s="109" t="s">
        <v>234</v>
      </c>
      <c r="Z77" s="45"/>
      <c r="AA77" s="45"/>
      <c r="AB77" s="45">
        <f t="shared" si="18"/>
        <v>0</v>
      </c>
      <c r="AC77" s="48"/>
      <c r="AD77" s="63"/>
      <c r="AE77" s="51">
        <f t="shared" si="25"/>
        <v>0</v>
      </c>
      <c r="AF77" s="52">
        <f t="shared" si="26"/>
        <v>11572.350000000093</v>
      </c>
      <c r="AG77" s="52">
        <v>1587562.23</v>
      </c>
      <c r="AH77" s="52">
        <f>476268.67+782018.93+223377.78+105896.85</f>
        <v>1587562.2300000002</v>
      </c>
      <c r="AI77" s="52">
        <f t="shared" si="23"/>
        <v>-2.3283064365386963E-10</v>
      </c>
      <c r="AJ77" s="124">
        <v>0</v>
      </c>
      <c r="AK77" s="45">
        <v>0</v>
      </c>
      <c r="AL77" s="52">
        <f t="shared" si="19"/>
        <v>0</v>
      </c>
      <c r="AM77" s="52">
        <f t="shared" si="20"/>
        <v>1587562.23</v>
      </c>
      <c r="AN77" s="51">
        <f t="shared" si="21"/>
        <v>1587562.2300000002</v>
      </c>
      <c r="AO77" s="51">
        <f t="shared" si="22"/>
        <v>0</v>
      </c>
      <c r="AP77" s="125" t="s">
        <v>83</v>
      </c>
      <c r="AQ77" s="52">
        <v>410576.44</v>
      </c>
      <c r="AR77" s="51">
        <f>288923.25+82528.74+39124.45</f>
        <v>410576.44</v>
      </c>
      <c r="AS77" s="51">
        <f t="shared" si="28"/>
        <v>0</v>
      </c>
      <c r="AT77" s="126">
        <f t="shared" si="27"/>
        <v>11572.34999999986</v>
      </c>
      <c r="AU77" s="48"/>
      <c r="AV77" s="46"/>
    </row>
    <row r="78" spans="1:48" ht="24.75" hidden="1" x14ac:dyDescent="0.2">
      <c r="A78" s="32">
        <v>639</v>
      </c>
      <c r="B78" s="105" t="s">
        <v>501</v>
      </c>
      <c r="C78" s="106"/>
      <c r="D78" s="107">
        <v>283</v>
      </c>
      <c r="E78" s="67" t="s">
        <v>502</v>
      </c>
      <c r="F78" s="67"/>
      <c r="G78" s="67" t="s">
        <v>350</v>
      </c>
      <c r="H78" s="33" t="s">
        <v>209</v>
      </c>
      <c r="I78" s="107">
        <v>6222</v>
      </c>
      <c r="J78" s="107"/>
      <c r="K78" s="39">
        <v>2.2999999999999998</v>
      </c>
      <c r="L78" s="40" t="s">
        <v>210</v>
      </c>
      <c r="M78" s="69" t="s">
        <v>75</v>
      </c>
      <c r="N78" s="42" t="s">
        <v>76</v>
      </c>
      <c r="O78" s="41" t="s">
        <v>77</v>
      </c>
      <c r="P78" s="46" t="s">
        <v>229</v>
      </c>
      <c r="Q78" s="62" t="s">
        <v>503</v>
      </c>
      <c r="R78" s="33" t="s">
        <v>504</v>
      </c>
      <c r="S78" s="45">
        <f t="shared" si="24"/>
        <v>449441.2</v>
      </c>
      <c r="T78" s="45">
        <v>449441.2</v>
      </c>
      <c r="U78" s="45">
        <v>0</v>
      </c>
      <c r="V78" s="109" t="s">
        <v>431</v>
      </c>
      <c r="W78" s="63">
        <v>41821</v>
      </c>
      <c r="X78" s="48"/>
      <c r="Y78" s="109" t="s">
        <v>234</v>
      </c>
      <c r="Z78" s="45"/>
      <c r="AA78" s="45"/>
      <c r="AB78" s="45">
        <f t="shared" si="18"/>
        <v>0</v>
      </c>
      <c r="AC78" s="48"/>
      <c r="AD78" s="63"/>
      <c r="AE78" s="51">
        <f t="shared" si="25"/>
        <v>0</v>
      </c>
      <c r="AF78" s="52">
        <f t="shared" si="26"/>
        <v>10101.660000000033</v>
      </c>
      <c r="AG78" s="52">
        <v>439339.54</v>
      </c>
      <c r="AH78" s="52">
        <f>131801.86+282846.59+24691.09</f>
        <v>439339.54000000004</v>
      </c>
      <c r="AI78" s="52">
        <f t="shared" si="23"/>
        <v>-5.8207660913467407E-11</v>
      </c>
      <c r="AJ78" s="124">
        <v>0</v>
      </c>
      <c r="AK78" s="45">
        <v>0</v>
      </c>
      <c r="AL78" s="52">
        <f t="shared" si="19"/>
        <v>0</v>
      </c>
      <c r="AM78" s="52">
        <f t="shared" si="20"/>
        <v>439339.54</v>
      </c>
      <c r="AN78" s="51">
        <f t="shared" si="21"/>
        <v>439339.54000000004</v>
      </c>
      <c r="AO78" s="51">
        <f t="shared" si="22"/>
        <v>0</v>
      </c>
      <c r="AP78" s="125" t="s">
        <v>205</v>
      </c>
      <c r="AQ78" s="52">
        <v>113622.29</v>
      </c>
      <c r="AR78" s="51">
        <f>104499.98+9122.31</f>
        <v>113622.29</v>
      </c>
      <c r="AS78" s="51">
        <f t="shared" si="28"/>
        <v>0</v>
      </c>
      <c r="AT78" s="126">
        <f t="shared" si="27"/>
        <v>10101.659999999974</v>
      </c>
      <c r="AU78" s="48"/>
      <c r="AV78" s="46"/>
    </row>
    <row r="79" spans="1:48" ht="24.75" hidden="1" x14ac:dyDescent="0.2">
      <c r="A79" s="32">
        <v>639</v>
      </c>
      <c r="B79" s="105" t="s">
        <v>505</v>
      </c>
      <c r="C79" s="106"/>
      <c r="D79" s="107">
        <v>295</v>
      </c>
      <c r="E79" s="67" t="s">
        <v>506</v>
      </c>
      <c r="F79" s="67"/>
      <c r="G79" s="67" t="s">
        <v>427</v>
      </c>
      <c r="H79" s="33" t="s">
        <v>209</v>
      </c>
      <c r="I79" s="107">
        <v>6222</v>
      </c>
      <c r="J79" s="107"/>
      <c r="K79" s="39">
        <v>2.2999999999999998</v>
      </c>
      <c r="L79" s="40" t="s">
        <v>210</v>
      </c>
      <c r="M79" s="69" t="s">
        <v>75</v>
      </c>
      <c r="N79" s="42" t="s">
        <v>76</v>
      </c>
      <c r="O79" s="41" t="s">
        <v>77</v>
      </c>
      <c r="P79" s="46" t="s">
        <v>428</v>
      </c>
      <c r="Q79" s="62" t="s">
        <v>507</v>
      </c>
      <c r="R79" s="33" t="s">
        <v>508</v>
      </c>
      <c r="S79" s="45">
        <f t="shared" si="24"/>
        <v>1072177.3500000001</v>
      </c>
      <c r="T79" s="45">
        <v>1072177.3500000001</v>
      </c>
      <c r="U79" s="45">
        <v>0</v>
      </c>
      <c r="V79" s="109" t="s">
        <v>431</v>
      </c>
      <c r="W79" s="63">
        <v>41821</v>
      </c>
      <c r="X79" s="48"/>
      <c r="Y79" s="109" t="s">
        <v>234</v>
      </c>
      <c r="Z79" s="45"/>
      <c r="AA79" s="45"/>
      <c r="AB79" s="45">
        <f t="shared" si="18"/>
        <v>0</v>
      </c>
      <c r="AC79" s="48"/>
      <c r="AD79" s="63"/>
      <c r="AE79" s="51">
        <f t="shared" si="25"/>
        <v>0</v>
      </c>
      <c r="AF79" s="52">
        <f t="shared" si="26"/>
        <v>18172.5</v>
      </c>
      <c r="AG79" s="52">
        <v>1054004.8500000001</v>
      </c>
      <c r="AH79" s="52">
        <f>316201.45+491232.46+246570.93</f>
        <v>1054004.8400000001</v>
      </c>
      <c r="AI79" s="52">
        <f t="shared" si="23"/>
        <v>1.0000000009313226E-2</v>
      </c>
      <c r="AJ79" s="124">
        <v>0</v>
      </c>
      <c r="AK79" s="45">
        <v>0</v>
      </c>
      <c r="AL79" s="52">
        <f t="shared" si="19"/>
        <v>0</v>
      </c>
      <c r="AM79" s="52">
        <f t="shared" si="20"/>
        <v>1054004.8500000001</v>
      </c>
      <c r="AN79" s="51">
        <f t="shared" si="21"/>
        <v>1054004.8400000001</v>
      </c>
      <c r="AO79" s="51">
        <f t="shared" si="22"/>
        <v>1.0000000009313226E-2</v>
      </c>
      <c r="AP79" s="125" t="s">
        <v>71</v>
      </c>
      <c r="AQ79" s="52">
        <v>272587.46000000002</v>
      </c>
      <c r="AR79" s="51">
        <f>181489.82+91097.64</f>
        <v>272587.46000000002</v>
      </c>
      <c r="AS79" s="51">
        <f t="shared" si="28"/>
        <v>0</v>
      </c>
      <c r="AT79" s="126">
        <f t="shared" si="27"/>
        <v>18172.510000000009</v>
      </c>
      <c r="AU79" s="48"/>
      <c r="AV79" s="46"/>
    </row>
    <row r="80" spans="1:48" ht="24.75" hidden="1" x14ac:dyDescent="0.2">
      <c r="A80" s="32">
        <v>639</v>
      </c>
      <c r="B80" s="105" t="s">
        <v>509</v>
      </c>
      <c r="C80" s="106"/>
      <c r="D80" s="107">
        <v>265</v>
      </c>
      <c r="E80" s="67" t="s">
        <v>510</v>
      </c>
      <c r="F80" s="67"/>
      <c r="G80" s="67" t="s">
        <v>332</v>
      </c>
      <c r="H80" s="33" t="s">
        <v>209</v>
      </c>
      <c r="I80" s="107">
        <v>6222</v>
      </c>
      <c r="J80" s="107"/>
      <c r="K80" s="39">
        <v>2.2999999999999998</v>
      </c>
      <c r="L80" s="40" t="s">
        <v>210</v>
      </c>
      <c r="M80" s="69" t="s">
        <v>75</v>
      </c>
      <c r="N80" s="42" t="s">
        <v>76</v>
      </c>
      <c r="O80" s="41" t="s">
        <v>77</v>
      </c>
      <c r="P80" s="46" t="s">
        <v>229</v>
      </c>
      <c r="Q80" s="62" t="s">
        <v>511</v>
      </c>
      <c r="R80" s="33" t="s">
        <v>512</v>
      </c>
      <c r="S80" s="45">
        <f t="shared" si="24"/>
        <v>983073.91</v>
      </c>
      <c r="T80" s="45">
        <v>983073.91</v>
      </c>
      <c r="U80" s="45">
        <v>0</v>
      </c>
      <c r="V80" s="109" t="s">
        <v>431</v>
      </c>
      <c r="W80" s="63">
        <v>41821</v>
      </c>
      <c r="X80" s="48"/>
      <c r="Y80" s="109" t="s">
        <v>234</v>
      </c>
      <c r="Z80" s="45"/>
      <c r="AA80" s="45"/>
      <c r="AB80" s="45">
        <f t="shared" si="18"/>
        <v>0</v>
      </c>
      <c r="AC80" s="48"/>
      <c r="AD80" s="63"/>
      <c r="AE80" s="51">
        <f t="shared" si="25"/>
        <v>0</v>
      </c>
      <c r="AF80" s="52">
        <f t="shared" si="26"/>
        <v>16662.260000000009</v>
      </c>
      <c r="AG80" s="52">
        <v>966411.65</v>
      </c>
      <c r="AH80" s="52">
        <f>289923.5+410021.93+198028.54+68437.68</f>
        <v>966411.64999999991</v>
      </c>
      <c r="AI80" s="52">
        <f t="shared" si="23"/>
        <v>1.1641532182693481E-10</v>
      </c>
      <c r="AJ80" s="124">
        <v>0</v>
      </c>
      <c r="AK80" s="45">
        <v>0</v>
      </c>
      <c r="AL80" s="52">
        <f t="shared" si="19"/>
        <v>0</v>
      </c>
      <c r="AM80" s="52">
        <f t="shared" si="20"/>
        <v>966411.65</v>
      </c>
      <c r="AN80" s="51">
        <f t="shared" si="21"/>
        <v>966411.64999999991</v>
      </c>
      <c r="AO80" s="51">
        <f t="shared" si="22"/>
        <v>0</v>
      </c>
      <c r="AP80" s="125" t="s">
        <v>205</v>
      </c>
      <c r="AQ80" s="52">
        <v>249934.05</v>
      </c>
      <c r="AR80" s="51">
        <f>151485.93+73163.25+25284.87</f>
        <v>249934.05</v>
      </c>
      <c r="AS80" s="51">
        <f t="shared" si="28"/>
        <v>0</v>
      </c>
      <c r="AT80" s="126">
        <f t="shared" si="27"/>
        <v>16662.260000000126</v>
      </c>
      <c r="AU80" s="48"/>
      <c r="AV80" s="46"/>
    </row>
    <row r="81" spans="1:48" ht="24.75" hidden="1" x14ac:dyDescent="0.2">
      <c r="A81" s="32">
        <v>639</v>
      </c>
      <c r="B81" s="105" t="s">
        <v>513</v>
      </c>
      <c r="C81" s="106"/>
      <c r="D81" s="107"/>
      <c r="E81" s="67" t="s">
        <v>514</v>
      </c>
      <c r="F81" s="67"/>
      <c r="G81" s="67" t="s">
        <v>427</v>
      </c>
      <c r="H81" s="33" t="s">
        <v>209</v>
      </c>
      <c r="I81" s="107">
        <v>6222</v>
      </c>
      <c r="J81" s="107"/>
      <c r="K81" s="39">
        <v>2.2999999999999998</v>
      </c>
      <c r="L81" s="40" t="s">
        <v>210</v>
      </c>
      <c r="M81" s="69" t="s">
        <v>75</v>
      </c>
      <c r="N81" s="42" t="s">
        <v>76</v>
      </c>
      <c r="O81" s="41" t="s">
        <v>77</v>
      </c>
      <c r="P81" s="46" t="s">
        <v>428</v>
      </c>
      <c r="Q81" s="62" t="s">
        <v>485</v>
      </c>
      <c r="R81" s="33" t="s">
        <v>515</v>
      </c>
      <c r="S81" s="45">
        <f t="shared" si="24"/>
        <v>1000699.79</v>
      </c>
      <c r="T81" s="45">
        <v>1000699.79</v>
      </c>
      <c r="U81" s="45">
        <v>0</v>
      </c>
      <c r="V81" s="109" t="s">
        <v>456</v>
      </c>
      <c r="W81" s="63">
        <v>41824</v>
      </c>
      <c r="X81" s="48"/>
      <c r="Y81" s="109" t="s">
        <v>234</v>
      </c>
      <c r="Z81" s="45"/>
      <c r="AA81" s="45"/>
      <c r="AB81" s="45">
        <f t="shared" si="18"/>
        <v>0</v>
      </c>
      <c r="AC81" s="48"/>
      <c r="AD81" s="63"/>
      <c r="AE81" s="51">
        <f t="shared" si="25"/>
        <v>0</v>
      </c>
      <c r="AF81" s="52">
        <f t="shared" si="26"/>
        <v>16960.989999999991</v>
      </c>
      <c r="AG81" s="52">
        <v>983738.8</v>
      </c>
      <c r="AH81" s="52">
        <f>295121.64+553747.03+134870.13</f>
        <v>983738.8</v>
      </c>
      <c r="AI81" s="52">
        <f t="shared" si="23"/>
        <v>0</v>
      </c>
      <c r="AJ81" s="124">
        <v>0</v>
      </c>
      <c r="AK81" s="45">
        <v>0</v>
      </c>
      <c r="AL81" s="52">
        <f t="shared" si="19"/>
        <v>0</v>
      </c>
      <c r="AM81" s="52">
        <f t="shared" si="20"/>
        <v>983738.8</v>
      </c>
      <c r="AN81" s="51">
        <f t="shared" si="21"/>
        <v>983738.8</v>
      </c>
      <c r="AO81" s="51">
        <f t="shared" si="22"/>
        <v>0</v>
      </c>
      <c r="AP81" s="125">
        <v>41948</v>
      </c>
      <c r="AQ81" s="52">
        <v>254415.21</v>
      </c>
      <c r="AR81" s="51">
        <f>204586.34+49828.87</f>
        <v>254415.21</v>
      </c>
      <c r="AS81" s="51">
        <f t="shared" si="28"/>
        <v>0</v>
      </c>
      <c r="AT81" s="126">
        <f t="shared" si="27"/>
        <v>16960.989999999991</v>
      </c>
      <c r="AU81" s="48"/>
      <c r="AV81" s="46"/>
    </row>
    <row r="82" spans="1:48" ht="24.75" hidden="1" x14ac:dyDescent="0.2">
      <c r="A82" s="32">
        <v>639</v>
      </c>
      <c r="B82" s="105" t="s">
        <v>516</v>
      </c>
      <c r="C82" s="106"/>
      <c r="D82" s="107"/>
      <c r="E82" s="67" t="s">
        <v>517</v>
      </c>
      <c r="F82" s="67"/>
      <c r="G82" s="67" t="s">
        <v>332</v>
      </c>
      <c r="H82" s="33" t="s">
        <v>209</v>
      </c>
      <c r="I82" s="107">
        <v>6222</v>
      </c>
      <c r="J82" s="107"/>
      <c r="K82" s="39">
        <v>2.2999999999999998</v>
      </c>
      <c r="L82" s="40" t="s">
        <v>210</v>
      </c>
      <c r="M82" s="69" t="s">
        <v>75</v>
      </c>
      <c r="N82" s="42" t="s">
        <v>76</v>
      </c>
      <c r="O82" s="41" t="s">
        <v>77</v>
      </c>
      <c r="P82" s="46" t="s">
        <v>518</v>
      </c>
      <c r="Q82" s="62" t="s">
        <v>519</v>
      </c>
      <c r="R82" s="33" t="s">
        <v>520</v>
      </c>
      <c r="S82" s="45">
        <f t="shared" si="24"/>
        <v>805715.41</v>
      </c>
      <c r="T82" s="45">
        <v>805715.41</v>
      </c>
      <c r="U82" s="45">
        <v>0</v>
      </c>
      <c r="V82" s="109" t="s">
        <v>456</v>
      </c>
      <c r="W82" s="63">
        <v>41824</v>
      </c>
      <c r="X82" s="48"/>
      <c r="Y82" s="109" t="s">
        <v>234</v>
      </c>
      <c r="Z82" s="45"/>
      <c r="AA82" s="45"/>
      <c r="AB82" s="45">
        <f t="shared" si="18"/>
        <v>0</v>
      </c>
      <c r="AC82" s="48"/>
      <c r="AD82" s="63"/>
      <c r="AE82" s="51">
        <f t="shared" si="25"/>
        <v>0</v>
      </c>
      <c r="AF82" s="52">
        <f t="shared" si="26"/>
        <v>13656.190000000061</v>
      </c>
      <c r="AG82" s="52">
        <v>792059.22</v>
      </c>
      <c r="AH82" s="52">
        <f>237617.76+230622.67+243157.49+80661.28</f>
        <v>792059.20000000007</v>
      </c>
      <c r="AI82" s="52">
        <f t="shared" si="23"/>
        <v>1.999999990221113E-2</v>
      </c>
      <c r="AJ82" s="124">
        <v>0</v>
      </c>
      <c r="AK82" s="45">
        <v>0</v>
      </c>
      <c r="AL82" s="52">
        <f t="shared" si="19"/>
        <v>0</v>
      </c>
      <c r="AM82" s="52">
        <f t="shared" si="20"/>
        <v>792059.22</v>
      </c>
      <c r="AN82" s="51">
        <f t="shared" si="21"/>
        <v>792059.20000000007</v>
      </c>
      <c r="AO82" s="51">
        <f t="shared" si="22"/>
        <v>1.999999990221113E-2</v>
      </c>
      <c r="AP82" s="125" t="s">
        <v>205</v>
      </c>
      <c r="AQ82" s="52">
        <v>204842.9</v>
      </c>
      <c r="AR82" s="51">
        <f>85205.42+89836.52+29800.96</f>
        <v>204842.9</v>
      </c>
      <c r="AS82" s="51">
        <f t="shared" si="28"/>
        <v>0</v>
      </c>
      <c r="AT82" s="126">
        <f t="shared" si="27"/>
        <v>13656.209999999963</v>
      </c>
      <c r="AU82" s="48"/>
      <c r="AV82" s="46"/>
    </row>
    <row r="83" spans="1:48" ht="24.75" hidden="1" x14ac:dyDescent="0.2">
      <c r="A83" s="32">
        <v>639</v>
      </c>
      <c r="B83" s="105" t="s">
        <v>521</v>
      </c>
      <c r="C83" s="106"/>
      <c r="D83" s="107">
        <v>289</v>
      </c>
      <c r="E83" s="67" t="s">
        <v>522</v>
      </c>
      <c r="F83" s="67"/>
      <c r="G83" s="67" t="s">
        <v>414</v>
      </c>
      <c r="H83" s="33" t="s">
        <v>209</v>
      </c>
      <c r="I83" s="107">
        <v>6222</v>
      </c>
      <c r="J83" s="107"/>
      <c r="K83" s="39">
        <v>2.2999999999999998</v>
      </c>
      <c r="L83" s="40" t="s">
        <v>210</v>
      </c>
      <c r="M83" s="69" t="s">
        <v>75</v>
      </c>
      <c r="N83" s="42" t="s">
        <v>76</v>
      </c>
      <c r="O83" s="41" t="s">
        <v>77</v>
      </c>
      <c r="P83" s="46" t="s">
        <v>141</v>
      </c>
      <c r="Q83" s="62" t="s">
        <v>523</v>
      </c>
      <c r="R83" s="33" t="s">
        <v>524</v>
      </c>
      <c r="S83" s="45">
        <f t="shared" si="24"/>
        <v>1350673.37</v>
      </c>
      <c r="T83" s="45">
        <v>1350673.37</v>
      </c>
      <c r="U83" s="45">
        <v>0</v>
      </c>
      <c r="V83" s="109" t="s">
        <v>456</v>
      </c>
      <c r="W83" s="63">
        <v>41824</v>
      </c>
      <c r="X83" s="48"/>
      <c r="Y83" s="109" t="s">
        <v>234</v>
      </c>
      <c r="Z83" s="45"/>
      <c r="AA83" s="45"/>
      <c r="AB83" s="45">
        <f t="shared" si="18"/>
        <v>0</v>
      </c>
      <c r="AC83" s="48"/>
      <c r="AD83" s="63"/>
      <c r="AE83" s="51">
        <f t="shared" si="25"/>
        <v>0</v>
      </c>
      <c r="AF83" s="52">
        <f t="shared" si="26"/>
        <v>33589.260000000009</v>
      </c>
      <c r="AG83" s="52">
        <v>1317084.1100000001</v>
      </c>
      <c r="AH83" s="52">
        <f>395125.23+723256.84+198702.04</f>
        <v>1317084.1099999999</v>
      </c>
      <c r="AI83" s="52">
        <f t="shared" si="23"/>
        <v>2.3283064365386963E-10</v>
      </c>
      <c r="AJ83" s="124">
        <v>0</v>
      </c>
      <c r="AK83" s="45">
        <v>0</v>
      </c>
      <c r="AL83" s="52">
        <f t="shared" si="19"/>
        <v>0</v>
      </c>
      <c r="AM83" s="52">
        <f t="shared" si="20"/>
        <v>1317084.1100000001</v>
      </c>
      <c r="AN83" s="51">
        <f t="shared" si="21"/>
        <v>1317084.1099999999</v>
      </c>
      <c r="AO83" s="51">
        <f t="shared" si="22"/>
        <v>0</v>
      </c>
      <c r="AP83" s="125" t="s">
        <v>205</v>
      </c>
      <c r="AQ83" s="52">
        <v>340625.2</v>
      </c>
      <c r="AR83" s="51">
        <f>267213.12+73412.08</f>
        <v>340625.2</v>
      </c>
      <c r="AS83" s="51">
        <f t="shared" si="28"/>
        <v>0</v>
      </c>
      <c r="AT83" s="126">
        <f t="shared" si="27"/>
        <v>33589.260000000242</v>
      </c>
      <c r="AU83" s="48"/>
      <c r="AV83" s="46"/>
    </row>
    <row r="84" spans="1:48" ht="24.75" hidden="1" x14ac:dyDescent="0.2">
      <c r="A84" s="32">
        <v>639</v>
      </c>
      <c r="B84" s="105" t="s">
        <v>525</v>
      </c>
      <c r="C84" s="106"/>
      <c r="D84" s="107"/>
      <c r="E84" s="67" t="s">
        <v>526</v>
      </c>
      <c r="F84" s="67"/>
      <c r="G84" s="67" t="s">
        <v>442</v>
      </c>
      <c r="H84" s="33" t="s">
        <v>209</v>
      </c>
      <c r="I84" s="107">
        <v>6222</v>
      </c>
      <c r="J84" s="107"/>
      <c r="K84" s="39">
        <v>2.2999999999999998</v>
      </c>
      <c r="L84" s="40" t="s">
        <v>210</v>
      </c>
      <c r="M84" s="69" t="s">
        <v>75</v>
      </c>
      <c r="N84" s="42" t="s">
        <v>76</v>
      </c>
      <c r="O84" s="41" t="s">
        <v>77</v>
      </c>
      <c r="P84" s="46" t="s">
        <v>443</v>
      </c>
      <c r="Q84" s="62" t="s">
        <v>527</v>
      </c>
      <c r="R84" s="33" t="s">
        <v>528</v>
      </c>
      <c r="S84" s="45">
        <f t="shared" si="24"/>
        <v>1495312.23</v>
      </c>
      <c r="T84" s="45">
        <v>1495312.23</v>
      </c>
      <c r="U84" s="45">
        <v>0</v>
      </c>
      <c r="V84" s="109" t="s">
        <v>456</v>
      </c>
      <c r="W84" s="63">
        <v>41824</v>
      </c>
      <c r="X84" s="48"/>
      <c r="Y84" s="109" t="s">
        <v>234</v>
      </c>
      <c r="Z84" s="45"/>
      <c r="AA84" s="45"/>
      <c r="AB84" s="45">
        <f t="shared" si="18"/>
        <v>0</v>
      </c>
      <c r="AC84" s="48"/>
      <c r="AD84" s="63"/>
      <c r="AE84" s="51">
        <f t="shared" si="25"/>
        <v>0</v>
      </c>
      <c r="AF84" s="52">
        <f t="shared" si="26"/>
        <v>33694.850000000093</v>
      </c>
      <c r="AG84" s="52">
        <v>1461617.38</v>
      </c>
      <c r="AH84" s="52">
        <f>438485.21+755042.94+268089.22</f>
        <v>1461617.3699999999</v>
      </c>
      <c r="AI84" s="52">
        <f t="shared" si="23"/>
        <v>1.0000000009313226E-2</v>
      </c>
      <c r="AJ84" s="124">
        <v>0</v>
      </c>
      <c r="AK84" s="45">
        <v>0</v>
      </c>
      <c r="AL84" s="52">
        <f t="shared" si="19"/>
        <v>0</v>
      </c>
      <c r="AM84" s="52">
        <f t="shared" si="20"/>
        <v>1461617.38</v>
      </c>
      <c r="AN84" s="51">
        <f t="shared" si="21"/>
        <v>1461617.3699999999</v>
      </c>
      <c r="AO84" s="51">
        <f t="shared" si="22"/>
        <v>1.0000000009313226E-2</v>
      </c>
      <c r="AP84" s="125" t="s">
        <v>205</v>
      </c>
      <c r="AQ84" s="52">
        <v>378004.49</v>
      </c>
      <c r="AR84" s="51">
        <f>278956.76+99047.73</f>
        <v>378004.49</v>
      </c>
      <c r="AS84" s="51">
        <f t="shared" si="28"/>
        <v>0</v>
      </c>
      <c r="AT84" s="126">
        <f t="shared" si="27"/>
        <v>33694.860000000102</v>
      </c>
      <c r="AU84" s="48"/>
      <c r="AV84" s="46"/>
    </row>
    <row r="85" spans="1:48" ht="24.75" hidden="1" x14ac:dyDescent="0.2">
      <c r="A85" s="32">
        <v>639</v>
      </c>
      <c r="B85" s="105" t="s">
        <v>529</v>
      </c>
      <c r="C85" s="106"/>
      <c r="D85" s="107"/>
      <c r="E85" s="67" t="s">
        <v>530</v>
      </c>
      <c r="F85" s="67"/>
      <c r="G85" s="67" t="s">
        <v>332</v>
      </c>
      <c r="H85" s="33" t="s">
        <v>209</v>
      </c>
      <c r="I85" s="107">
        <v>6222</v>
      </c>
      <c r="J85" s="107"/>
      <c r="K85" s="39">
        <v>2.2999999999999998</v>
      </c>
      <c r="L85" s="40" t="s">
        <v>210</v>
      </c>
      <c r="M85" s="69" t="s">
        <v>75</v>
      </c>
      <c r="N85" s="42" t="s">
        <v>76</v>
      </c>
      <c r="O85" s="41" t="s">
        <v>77</v>
      </c>
      <c r="P85" s="46" t="s">
        <v>428</v>
      </c>
      <c r="Q85" s="62" t="s">
        <v>531</v>
      </c>
      <c r="R85" s="33" t="s">
        <v>532</v>
      </c>
      <c r="S85" s="45">
        <f t="shared" si="24"/>
        <v>824147.8</v>
      </c>
      <c r="T85" s="45">
        <v>824147.8</v>
      </c>
      <c r="U85" s="45">
        <v>0</v>
      </c>
      <c r="V85" s="109" t="s">
        <v>456</v>
      </c>
      <c r="W85" s="63">
        <v>41824</v>
      </c>
      <c r="X85" s="48"/>
      <c r="Y85" s="109" t="s">
        <v>234</v>
      </c>
      <c r="Z85" s="45"/>
      <c r="AA85" s="45"/>
      <c r="AB85" s="45">
        <f t="shared" si="18"/>
        <v>0</v>
      </c>
      <c r="AC85" s="48"/>
      <c r="AD85" s="63"/>
      <c r="AE85" s="51">
        <f t="shared" si="25"/>
        <v>0</v>
      </c>
      <c r="AF85" s="52">
        <f t="shared" si="26"/>
        <v>13968.590000000084</v>
      </c>
      <c r="AG85" s="52">
        <v>810179.21</v>
      </c>
      <c r="AH85" s="52">
        <f>243053.77+460788.55+106336.89</f>
        <v>810179.21</v>
      </c>
      <c r="AI85" s="52">
        <f t="shared" si="23"/>
        <v>0</v>
      </c>
      <c r="AJ85" s="124">
        <v>0</v>
      </c>
      <c r="AK85" s="45">
        <v>0</v>
      </c>
      <c r="AL85" s="52">
        <f t="shared" si="19"/>
        <v>0</v>
      </c>
      <c r="AM85" s="52">
        <f t="shared" si="20"/>
        <v>810179.21</v>
      </c>
      <c r="AN85" s="51">
        <f t="shared" si="21"/>
        <v>810179.21</v>
      </c>
      <c r="AO85" s="51">
        <f t="shared" si="22"/>
        <v>0</v>
      </c>
      <c r="AP85" s="125" t="s">
        <v>333</v>
      </c>
      <c r="AQ85" s="52">
        <v>209529.11</v>
      </c>
      <c r="AR85" s="51">
        <f>170242.08+39287.03</f>
        <v>209529.11</v>
      </c>
      <c r="AS85" s="51">
        <f t="shared" si="28"/>
        <v>0</v>
      </c>
      <c r="AT85" s="126">
        <f t="shared" si="27"/>
        <v>13968.590000000084</v>
      </c>
      <c r="AU85" s="48"/>
      <c r="AV85" s="46"/>
    </row>
    <row r="86" spans="1:48" ht="24.75" hidden="1" x14ac:dyDescent="0.2">
      <c r="A86" s="32">
        <v>639</v>
      </c>
      <c r="B86" s="105" t="s">
        <v>533</v>
      </c>
      <c r="C86" s="106"/>
      <c r="D86" s="107"/>
      <c r="E86" s="67" t="s">
        <v>534</v>
      </c>
      <c r="F86" s="67"/>
      <c r="G86" s="67" t="s">
        <v>386</v>
      </c>
      <c r="H86" s="33" t="s">
        <v>209</v>
      </c>
      <c r="I86" s="107">
        <v>6222</v>
      </c>
      <c r="J86" s="107"/>
      <c r="K86" s="39">
        <v>2.2999999999999998</v>
      </c>
      <c r="L86" s="40" t="s">
        <v>210</v>
      </c>
      <c r="M86" s="69" t="s">
        <v>75</v>
      </c>
      <c r="N86" s="42" t="s">
        <v>76</v>
      </c>
      <c r="O86" s="41" t="s">
        <v>77</v>
      </c>
      <c r="P86" s="46" t="s">
        <v>331</v>
      </c>
      <c r="Q86" s="62" t="s">
        <v>535</v>
      </c>
      <c r="R86" s="33" t="s">
        <v>536</v>
      </c>
      <c r="S86" s="45">
        <f t="shared" si="24"/>
        <v>1476479.56</v>
      </c>
      <c r="T86" s="45">
        <v>1476479.56</v>
      </c>
      <c r="U86" s="45">
        <v>0</v>
      </c>
      <c r="V86" s="109" t="s">
        <v>537</v>
      </c>
      <c r="W86" s="63">
        <v>41827</v>
      </c>
      <c r="X86" s="48"/>
      <c r="Y86" s="109" t="s">
        <v>234</v>
      </c>
      <c r="Z86" s="45"/>
      <c r="AA86" s="45"/>
      <c r="AB86" s="45">
        <f t="shared" si="18"/>
        <v>0</v>
      </c>
      <c r="AC86" s="48"/>
      <c r="AD86" s="63"/>
      <c r="AE86" s="51">
        <f t="shared" si="25"/>
        <v>0</v>
      </c>
      <c r="AF86" s="52">
        <f t="shared" si="26"/>
        <v>67045.340000000084</v>
      </c>
      <c r="AG86" s="52">
        <v>1409434.22</v>
      </c>
      <c r="AH86" s="52">
        <f>1268264.54+141169.68</f>
        <v>1409434.22</v>
      </c>
      <c r="AI86" s="52">
        <f t="shared" si="23"/>
        <v>0</v>
      </c>
      <c r="AJ86" s="124">
        <v>0</v>
      </c>
      <c r="AK86" s="45">
        <v>0</v>
      </c>
      <c r="AL86" s="52">
        <f t="shared" si="19"/>
        <v>0</v>
      </c>
      <c r="AM86" s="52">
        <f t="shared" si="20"/>
        <v>1409434.22</v>
      </c>
      <c r="AN86" s="51">
        <f t="shared" si="21"/>
        <v>1409434.22</v>
      </c>
      <c r="AO86" s="51">
        <f t="shared" si="22"/>
        <v>0</v>
      </c>
      <c r="AP86" s="125" t="s">
        <v>333</v>
      </c>
      <c r="AQ86" s="52"/>
      <c r="AR86" s="51"/>
      <c r="AS86" s="51">
        <f t="shared" si="28"/>
        <v>0</v>
      </c>
      <c r="AT86" s="51">
        <f t="shared" si="27"/>
        <v>67045.340000000084</v>
      </c>
      <c r="AU86" s="48"/>
      <c r="AV86" s="46"/>
    </row>
    <row r="87" spans="1:48" ht="20.25" hidden="1" customHeight="1" x14ac:dyDescent="0.2">
      <c r="A87" s="32">
        <v>636</v>
      </c>
      <c r="B87" s="259" t="s">
        <v>538</v>
      </c>
      <c r="C87" s="119"/>
      <c r="D87" s="132">
        <v>321</v>
      </c>
      <c r="E87" s="253" t="s">
        <v>539</v>
      </c>
      <c r="F87" s="82"/>
      <c r="G87" s="82"/>
      <c r="H87" s="33" t="s">
        <v>540</v>
      </c>
      <c r="I87" s="107">
        <v>6223</v>
      </c>
      <c r="J87" s="107"/>
      <c r="K87" s="39">
        <v>2.13</v>
      </c>
      <c r="L87" s="118" t="s">
        <v>541</v>
      </c>
      <c r="M87" s="69" t="s">
        <v>117</v>
      </c>
      <c r="N87" s="42" t="s">
        <v>76</v>
      </c>
      <c r="O87" s="62" t="s">
        <v>118</v>
      </c>
      <c r="P87" s="46" t="s">
        <v>141</v>
      </c>
      <c r="Q87" s="62" t="s">
        <v>542</v>
      </c>
      <c r="R87" s="256" t="s">
        <v>543</v>
      </c>
      <c r="S87" s="45">
        <f t="shared" si="24"/>
        <v>407236.15</v>
      </c>
      <c r="T87" s="45">
        <v>407236.15</v>
      </c>
      <c r="U87" s="45">
        <v>0</v>
      </c>
      <c r="V87" s="109" t="s">
        <v>544</v>
      </c>
      <c r="W87" s="63">
        <v>41830</v>
      </c>
      <c r="X87" s="48"/>
      <c r="Y87" s="109" t="s">
        <v>234</v>
      </c>
      <c r="Z87" s="45"/>
      <c r="AA87" s="45"/>
      <c r="AB87" s="45">
        <f t="shared" si="18"/>
        <v>0</v>
      </c>
      <c r="AC87" s="48"/>
      <c r="AD87" s="63"/>
      <c r="AE87" s="51">
        <f t="shared" si="25"/>
        <v>0</v>
      </c>
      <c r="AF87" s="52">
        <f t="shared" si="26"/>
        <v>0</v>
      </c>
      <c r="AG87" s="52">
        <v>407236.15</v>
      </c>
      <c r="AH87" s="52">
        <v>407236.15</v>
      </c>
      <c r="AI87" s="52">
        <f t="shared" si="23"/>
        <v>0</v>
      </c>
      <c r="AJ87" s="124">
        <v>0</v>
      </c>
      <c r="AK87" s="45">
        <v>0</v>
      </c>
      <c r="AL87" s="52">
        <f t="shared" si="19"/>
        <v>0</v>
      </c>
      <c r="AM87" s="52">
        <f t="shared" si="20"/>
        <v>407236.15</v>
      </c>
      <c r="AN87" s="51">
        <f t="shared" si="21"/>
        <v>407236.15</v>
      </c>
      <c r="AO87" s="51">
        <f t="shared" si="22"/>
        <v>0</v>
      </c>
      <c r="AP87" s="125"/>
      <c r="AQ87" s="52"/>
      <c r="AR87" s="51"/>
      <c r="AS87" s="51">
        <f t="shared" si="28"/>
        <v>0</v>
      </c>
      <c r="AT87" s="126">
        <f t="shared" si="27"/>
        <v>0</v>
      </c>
      <c r="AU87" s="48"/>
      <c r="AV87" s="46"/>
    </row>
    <row r="88" spans="1:48" ht="20.25" hidden="1" customHeight="1" x14ac:dyDescent="0.2">
      <c r="A88" s="32">
        <v>636</v>
      </c>
      <c r="B88" s="260"/>
      <c r="C88" s="120"/>
      <c r="D88" s="132">
        <v>322</v>
      </c>
      <c r="E88" s="254"/>
      <c r="F88" s="84"/>
      <c r="G88" s="84"/>
      <c r="H88" s="33" t="s">
        <v>540</v>
      </c>
      <c r="I88" s="107">
        <v>6223</v>
      </c>
      <c r="J88" s="107"/>
      <c r="K88" s="39">
        <v>2.13</v>
      </c>
      <c r="L88" s="118" t="s">
        <v>545</v>
      </c>
      <c r="M88" s="69" t="s">
        <v>117</v>
      </c>
      <c r="N88" s="42" t="s">
        <v>76</v>
      </c>
      <c r="O88" s="62" t="s">
        <v>118</v>
      </c>
      <c r="P88" s="46" t="s">
        <v>141</v>
      </c>
      <c r="Q88" s="62" t="s">
        <v>542</v>
      </c>
      <c r="R88" s="257"/>
      <c r="S88" s="45">
        <f t="shared" si="24"/>
        <v>517334.5</v>
      </c>
      <c r="T88" s="45">
        <v>517334.5</v>
      </c>
      <c r="U88" s="45">
        <v>0</v>
      </c>
      <c r="V88" s="109" t="s">
        <v>544</v>
      </c>
      <c r="W88" s="63">
        <v>41830</v>
      </c>
      <c r="X88" s="48"/>
      <c r="Y88" s="109" t="s">
        <v>234</v>
      </c>
      <c r="Z88" s="45"/>
      <c r="AA88" s="45"/>
      <c r="AB88" s="45">
        <f t="shared" si="18"/>
        <v>0</v>
      </c>
      <c r="AC88" s="48"/>
      <c r="AD88" s="63"/>
      <c r="AE88" s="51">
        <f t="shared" si="25"/>
        <v>0</v>
      </c>
      <c r="AF88" s="52">
        <f t="shared" si="26"/>
        <v>0</v>
      </c>
      <c r="AG88" s="52">
        <v>517334.5</v>
      </c>
      <c r="AH88" s="52">
        <f>110518.06+406816.44</f>
        <v>517334.5</v>
      </c>
      <c r="AI88" s="52">
        <f t="shared" si="23"/>
        <v>0</v>
      </c>
      <c r="AJ88" s="124">
        <v>0</v>
      </c>
      <c r="AK88" s="45">
        <v>0</v>
      </c>
      <c r="AL88" s="52">
        <f t="shared" si="19"/>
        <v>0</v>
      </c>
      <c r="AM88" s="52">
        <f t="shared" si="20"/>
        <v>517334.5</v>
      </c>
      <c r="AN88" s="51">
        <f t="shared" si="21"/>
        <v>517334.5</v>
      </c>
      <c r="AO88" s="51">
        <f t="shared" si="22"/>
        <v>0</v>
      </c>
      <c r="AP88" s="125"/>
      <c r="AQ88" s="52"/>
      <c r="AR88" s="51"/>
      <c r="AS88" s="51">
        <f t="shared" si="28"/>
        <v>0</v>
      </c>
      <c r="AT88" s="126">
        <f t="shared" si="27"/>
        <v>0</v>
      </c>
      <c r="AU88" s="48"/>
      <c r="AV88" s="46"/>
    </row>
    <row r="89" spans="1:48" ht="27" hidden="1" customHeight="1" x14ac:dyDescent="0.2">
      <c r="A89" s="32">
        <v>636</v>
      </c>
      <c r="B89" s="260"/>
      <c r="C89" s="120"/>
      <c r="D89" s="132">
        <v>330</v>
      </c>
      <c r="E89" s="254"/>
      <c r="F89" s="84"/>
      <c r="G89" s="84"/>
      <c r="H89" s="33" t="s">
        <v>546</v>
      </c>
      <c r="I89" s="107">
        <v>6223</v>
      </c>
      <c r="J89" s="107"/>
      <c r="K89" s="39">
        <v>2.13</v>
      </c>
      <c r="L89" s="118" t="s">
        <v>547</v>
      </c>
      <c r="M89" s="69" t="s">
        <v>117</v>
      </c>
      <c r="N89" s="42" t="s">
        <v>76</v>
      </c>
      <c r="O89" s="62" t="s">
        <v>118</v>
      </c>
      <c r="P89" s="46" t="s">
        <v>141</v>
      </c>
      <c r="Q89" s="62" t="s">
        <v>542</v>
      </c>
      <c r="R89" s="257"/>
      <c r="S89" s="45">
        <f t="shared" si="24"/>
        <v>4099.1099999999997</v>
      </c>
      <c r="T89" s="45">
        <v>4099.1099999999997</v>
      </c>
      <c r="U89" s="45">
        <v>0</v>
      </c>
      <c r="V89" s="109" t="s">
        <v>544</v>
      </c>
      <c r="W89" s="63">
        <v>41830</v>
      </c>
      <c r="X89" s="48"/>
      <c r="Y89" s="109" t="s">
        <v>234</v>
      </c>
      <c r="Z89" s="45"/>
      <c r="AA89" s="45"/>
      <c r="AB89" s="45">
        <f t="shared" si="18"/>
        <v>0</v>
      </c>
      <c r="AC89" s="48"/>
      <c r="AD89" s="63"/>
      <c r="AE89" s="51">
        <f t="shared" si="25"/>
        <v>0</v>
      </c>
      <c r="AF89" s="52">
        <f t="shared" si="26"/>
        <v>0</v>
      </c>
      <c r="AG89" s="52">
        <v>4099.1099999999997</v>
      </c>
      <c r="AH89" s="52">
        <v>4099.1099999999997</v>
      </c>
      <c r="AI89" s="52">
        <f t="shared" si="23"/>
        <v>0</v>
      </c>
      <c r="AJ89" s="124">
        <v>0</v>
      </c>
      <c r="AK89" s="45">
        <v>0</v>
      </c>
      <c r="AL89" s="52">
        <f t="shared" si="19"/>
        <v>0</v>
      </c>
      <c r="AM89" s="52">
        <f t="shared" si="20"/>
        <v>4099.1099999999997</v>
      </c>
      <c r="AN89" s="51">
        <f t="shared" si="21"/>
        <v>4099.1099999999997</v>
      </c>
      <c r="AO89" s="51">
        <f t="shared" si="22"/>
        <v>0</v>
      </c>
      <c r="AP89" s="125"/>
      <c r="AQ89" s="52"/>
      <c r="AR89" s="51"/>
      <c r="AS89" s="51">
        <f t="shared" si="28"/>
        <v>0</v>
      </c>
      <c r="AT89" s="126">
        <f t="shared" si="27"/>
        <v>0</v>
      </c>
      <c r="AU89" s="48"/>
      <c r="AV89" s="46"/>
    </row>
    <row r="90" spans="1:48" ht="27" hidden="1" x14ac:dyDescent="0.2">
      <c r="A90" s="32">
        <v>636</v>
      </c>
      <c r="B90" s="260"/>
      <c r="C90" s="120"/>
      <c r="D90" s="132">
        <v>331</v>
      </c>
      <c r="E90" s="254"/>
      <c r="F90" s="84"/>
      <c r="G90" s="84"/>
      <c r="H90" s="33" t="s">
        <v>546</v>
      </c>
      <c r="I90" s="107">
        <v>6223</v>
      </c>
      <c r="J90" s="107"/>
      <c r="K90" s="39"/>
      <c r="L90" s="118" t="s">
        <v>548</v>
      </c>
      <c r="M90" s="69" t="s">
        <v>117</v>
      </c>
      <c r="N90" s="42" t="s">
        <v>76</v>
      </c>
      <c r="O90" s="62" t="s">
        <v>118</v>
      </c>
      <c r="P90" s="46" t="s">
        <v>141</v>
      </c>
      <c r="Q90" s="62" t="s">
        <v>542</v>
      </c>
      <c r="R90" s="257"/>
      <c r="S90" s="45">
        <f t="shared" si="24"/>
        <v>6377.39</v>
      </c>
      <c r="T90" s="45">
        <v>6377.39</v>
      </c>
      <c r="U90" s="45">
        <v>0</v>
      </c>
      <c r="V90" s="109" t="s">
        <v>544</v>
      </c>
      <c r="W90" s="63">
        <v>41830</v>
      </c>
      <c r="X90" s="48"/>
      <c r="Y90" s="109" t="s">
        <v>234</v>
      </c>
      <c r="Z90" s="45"/>
      <c r="AA90" s="45"/>
      <c r="AB90" s="45">
        <f t="shared" si="18"/>
        <v>0</v>
      </c>
      <c r="AC90" s="48"/>
      <c r="AD90" s="63"/>
      <c r="AE90" s="51">
        <f t="shared" si="25"/>
        <v>0</v>
      </c>
      <c r="AF90" s="52">
        <f t="shared" si="26"/>
        <v>0</v>
      </c>
      <c r="AG90" s="52">
        <v>6377.39</v>
      </c>
      <c r="AH90" s="52">
        <v>6377.39</v>
      </c>
      <c r="AI90" s="52">
        <f t="shared" si="23"/>
        <v>0</v>
      </c>
      <c r="AJ90" s="124">
        <v>0</v>
      </c>
      <c r="AK90" s="45">
        <v>0</v>
      </c>
      <c r="AL90" s="52">
        <f t="shared" si="19"/>
        <v>0</v>
      </c>
      <c r="AM90" s="52">
        <f t="shared" si="20"/>
        <v>6377.39</v>
      </c>
      <c r="AN90" s="51">
        <f t="shared" si="21"/>
        <v>6377.39</v>
      </c>
      <c r="AO90" s="51">
        <f t="shared" si="22"/>
        <v>0</v>
      </c>
      <c r="AP90" s="125"/>
      <c r="AQ90" s="52"/>
      <c r="AR90" s="51"/>
      <c r="AS90" s="51">
        <f t="shared" si="28"/>
        <v>0</v>
      </c>
      <c r="AT90" s="126">
        <f t="shared" si="27"/>
        <v>0</v>
      </c>
      <c r="AU90" s="48"/>
      <c r="AV90" s="46"/>
    </row>
    <row r="91" spans="1:48" ht="20.25" hidden="1" x14ac:dyDescent="0.2">
      <c r="A91" s="32">
        <v>636</v>
      </c>
      <c r="B91" s="260"/>
      <c r="C91" s="120"/>
      <c r="D91" s="132">
        <v>332</v>
      </c>
      <c r="E91" s="254"/>
      <c r="F91" s="84"/>
      <c r="G91" s="84"/>
      <c r="H91" s="33" t="s">
        <v>546</v>
      </c>
      <c r="I91" s="107">
        <v>6223</v>
      </c>
      <c r="J91" s="107"/>
      <c r="K91" s="39"/>
      <c r="L91" s="118" t="s">
        <v>549</v>
      </c>
      <c r="M91" s="69" t="s">
        <v>117</v>
      </c>
      <c r="N91" s="42" t="s">
        <v>76</v>
      </c>
      <c r="O91" s="62" t="s">
        <v>118</v>
      </c>
      <c r="P91" s="46" t="s">
        <v>141</v>
      </c>
      <c r="Q91" s="62" t="s">
        <v>542</v>
      </c>
      <c r="R91" s="257"/>
      <c r="S91" s="45">
        <f t="shared" si="24"/>
        <v>775.47</v>
      </c>
      <c r="T91" s="45">
        <v>775.47</v>
      </c>
      <c r="U91" s="45">
        <v>0</v>
      </c>
      <c r="V91" s="109" t="s">
        <v>544</v>
      </c>
      <c r="W91" s="63">
        <v>41830</v>
      </c>
      <c r="X91" s="48"/>
      <c r="Y91" s="109" t="s">
        <v>234</v>
      </c>
      <c r="Z91" s="45"/>
      <c r="AA91" s="45"/>
      <c r="AB91" s="45">
        <f t="shared" si="18"/>
        <v>0</v>
      </c>
      <c r="AC91" s="48"/>
      <c r="AD91" s="63"/>
      <c r="AE91" s="51">
        <f t="shared" si="25"/>
        <v>0</v>
      </c>
      <c r="AF91" s="52">
        <f t="shared" si="26"/>
        <v>0</v>
      </c>
      <c r="AG91" s="52">
        <v>775.47</v>
      </c>
      <c r="AH91" s="52">
        <v>775.47</v>
      </c>
      <c r="AI91" s="52">
        <f t="shared" si="23"/>
        <v>0</v>
      </c>
      <c r="AJ91" s="124">
        <v>0</v>
      </c>
      <c r="AK91" s="45">
        <v>0</v>
      </c>
      <c r="AL91" s="52">
        <f t="shared" si="19"/>
        <v>0</v>
      </c>
      <c r="AM91" s="52">
        <f t="shared" si="20"/>
        <v>775.47</v>
      </c>
      <c r="AN91" s="51">
        <f t="shared" si="21"/>
        <v>775.47</v>
      </c>
      <c r="AO91" s="51">
        <f t="shared" si="22"/>
        <v>0</v>
      </c>
      <c r="AP91" s="125"/>
      <c r="AQ91" s="52"/>
      <c r="AR91" s="51"/>
      <c r="AS91" s="51">
        <f t="shared" si="28"/>
        <v>0</v>
      </c>
      <c r="AT91" s="126">
        <f t="shared" si="27"/>
        <v>0</v>
      </c>
      <c r="AU91" s="48"/>
      <c r="AV91" s="46"/>
    </row>
    <row r="92" spans="1:48" ht="27" hidden="1" customHeight="1" x14ac:dyDescent="0.2">
      <c r="A92" s="32">
        <v>636</v>
      </c>
      <c r="B92" s="260"/>
      <c r="C92" s="120"/>
      <c r="D92" s="132">
        <v>333</v>
      </c>
      <c r="E92" s="254"/>
      <c r="F92" s="84"/>
      <c r="G92" s="84"/>
      <c r="H92" s="33" t="s">
        <v>546</v>
      </c>
      <c r="I92" s="107">
        <v>6223</v>
      </c>
      <c r="J92" s="107"/>
      <c r="K92" s="39">
        <v>2.13</v>
      </c>
      <c r="L92" s="118" t="s">
        <v>550</v>
      </c>
      <c r="M92" s="69" t="s">
        <v>117</v>
      </c>
      <c r="N92" s="42" t="s">
        <v>76</v>
      </c>
      <c r="O92" s="62" t="s">
        <v>118</v>
      </c>
      <c r="P92" s="46" t="s">
        <v>141</v>
      </c>
      <c r="Q92" s="62" t="s">
        <v>542</v>
      </c>
      <c r="R92" s="257"/>
      <c r="S92" s="45">
        <f t="shared" si="24"/>
        <v>424.01</v>
      </c>
      <c r="T92" s="45">
        <v>424.01</v>
      </c>
      <c r="U92" s="45">
        <v>0</v>
      </c>
      <c r="V92" s="109" t="s">
        <v>544</v>
      </c>
      <c r="W92" s="63">
        <v>41830</v>
      </c>
      <c r="X92" s="48"/>
      <c r="Y92" s="109" t="s">
        <v>234</v>
      </c>
      <c r="Z92" s="45"/>
      <c r="AA92" s="45"/>
      <c r="AB92" s="45">
        <f t="shared" si="18"/>
        <v>0</v>
      </c>
      <c r="AC92" s="48"/>
      <c r="AD92" s="63"/>
      <c r="AE92" s="51">
        <f t="shared" si="25"/>
        <v>0</v>
      </c>
      <c r="AF92" s="52">
        <f t="shared" si="26"/>
        <v>0</v>
      </c>
      <c r="AG92" s="52">
        <v>424.01</v>
      </c>
      <c r="AH92" s="52">
        <v>424.01</v>
      </c>
      <c r="AI92" s="52">
        <f t="shared" si="23"/>
        <v>0</v>
      </c>
      <c r="AJ92" s="124">
        <v>0</v>
      </c>
      <c r="AK92" s="45">
        <v>0</v>
      </c>
      <c r="AL92" s="52">
        <f t="shared" si="19"/>
        <v>0</v>
      </c>
      <c r="AM92" s="52">
        <f t="shared" si="20"/>
        <v>424.01</v>
      </c>
      <c r="AN92" s="51">
        <f t="shared" si="21"/>
        <v>424.01</v>
      </c>
      <c r="AO92" s="51">
        <f t="shared" si="22"/>
        <v>0</v>
      </c>
      <c r="AP92" s="125"/>
      <c r="AQ92" s="52"/>
      <c r="AR92" s="51"/>
      <c r="AS92" s="51">
        <f t="shared" si="28"/>
        <v>0</v>
      </c>
      <c r="AT92" s="126">
        <f t="shared" si="27"/>
        <v>0</v>
      </c>
      <c r="AU92" s="48"/>
      <c r="AV92" s="46"/>
    </row>
    <row r="93" spans="1:48" ht="27" hidden="1" customHeight="1" x14ac:dyDescent="0.2">
      <c r="A93" s="32">
        <v>636</v>
      </c>
      <c r="B93" s="260"/>
      <c r="C93" s="120"/>
      <c r="D93" s="132">
        <v>334</v>
      </c>
      <c r="E93" s="254"/>
      <c r="F93" s="84"/>
      <c r="G93" s="84"/>
      <c r="H93" s="33" t="s">
        <v>546</v>
      </c>
      <c r="I93" s="107">
        <v>6223</v>
      </c>
      <c r="J93" s="107"/>
      <c r="K93" s="39">
        <v>2.13</v>
      </c>
      <c r="L93" s="118" t="s">
        <v>551</v>
      </c>
      <c r="M93" s="69" t="s">
        <v>117</v>
      </c>
      <c r="N93" s="42" t="s">
        <v>76</v>
      </c>
      <c r="O93" s="62" t="s">
        <v>118</v>
      </c>
      <c r="P93" s="46" t="s">
        <v>141</v>
      </c>
      <c r="Q93" s="62" t="s">
        <v>542</v>
      </c>
      <c r="R93" s="257"/>
      <c r="S93" s="45">
        <f t="shared" si="24"/>
        <v>1459.67</v>
      </c>
      <c r="T93" s="45">
        <v>1459.67</v>
      </c>
      <c r="U93" s="45">
        <v>0</v>
      </c>
      <c r="V93" s="109" t="s">
        <v>544</v>
      </c>
      <c r="W93" s="63">
        <v>41830</v>
      </c>
      <c r="X93" s="48"/>
      <c r="Y93" s="109" t="s">
        <v>234</v>
      </c>
      <c r="Z93" s="45"/>
      <c r="AA93" s="45"/>
      <c r="AB93" s="45">
        <f t="shared" si="18"/>
        <v>0</v>
      </c>
      <c r="AC93" s="48"/>
      <c r="AD93" s="63"/>
      <c r="AE93" s="51">
        <f t="shared" si="25"/>
        <v>0</v>
      </c>
      <c r="AF93" s="52">
        <f t="shared" si="26"/>
        <v>0</v>
      </c>
      <c r="AG93" s="52">
        <v>1459.67</v>
      </c>
      <c r="AH93" s="52">
        <v>1459.67</v>
      </c>
      <c r="AI93" s="52">
        <f t="shared" si="23"/>
        <v>0</v>
      </c>
      <c r="AJ93" s="124">
        <v>0</v>
      </c>
      <c r="AK93" s="45">
        <v>0</v>
      </c>
      <c r="AL93" s="52">
        <f t="shared" si="19"/>
        <v>0</v>
      </c>
      <c r="AM93" s="52">
        <f t="shared" si="20"/>
        <v>1459.67</v>
      </c>
      <c r="AN93" s="51">
        <f t="shared" si="21"/>
        <v>1459.67</v>
      </c>
      <c r="AO93" s="51">
        <f t="shared" si="22"/>
        <v>0</v>
      </c>
      <c r="AP93" s="125"/>
      <c r="AQ93" s="52"/>
      <c r="AR93" s="51"/>
      <c r="AS93" s="51">
        <f t="shared" si="28"/>
        <v>0</v>
      </c>
      <c r="AT93" s="126">
        <f t="shared" si="27"/>
        <v>0</v>
      </c>
      <c r="AU93" s="48"/>
      <c r="AV93" s="46"/>
    </row>
    <row r="94" spans="1:48" ht="20.25" hidden="1" x14ac:dyDescent="0.2">
      <c r="A94" s="32">
        <v>636</v>
      </c>
      <c r="B94" s="260"/>
      <c r="C94" s="120"/>
      <c r="D94" s="132">
        <v>323</v>
      </c>
      <c r="E94" s="254"/>
      <c r="F94" s="84"/>
      <c r="G94" s="84"/>
      <c r="H94" s="33" t="s">
        <v>552</v>
      </c>
      <c r="I94" s="107">
        <v>6223</v>
      </c>
      <c r="J94" s="107"/>
      <c r="K94" s="39">
        <v>2.14</v>
      </c>
      <c r="L94" s="118" t="s">
        <v>553</v>
      </c>
      <c r="M94" s="69" t="s">
        <v>117</v>
      </c>
      <c r="N94" s="42" t="s">
        <v>76</v>
      </c>
      <c r="O94" s="62" t="s">
        <v>118</v>
      </c>
      <c r="P94" s="46" t="s">
        <v>141</v>
      </c>
      <c r="Q94" s="62" t="s">
        <v>542</v>
      </c>
      <c r="R94" s="257"/>
      <c r="S94" s="45">
        <f t="shared" si="24"/>
        <v>437816.66</v>
      </c>
      <c r="T94" s="45">
        <v>437816.66</v>
      </c>
      <c r="U94" s="45">
        <v>0</v>
      </c>
      <c r="V94" s="109" t="s">
        <v>544</v>
      </c>
      <c r="W94" s="63">
        <v>41830</v>
      </c>
      <c r="X94" s="48"/>
      <c r="Y94" s="109" t="s">
        <v>234</v>
      </c>
      <c r="Z94" s="45"/>
      <c r="AA94" s="45"/>
      <c r="AB94" s="45">
        <f t="shared" si="18"/>
        <v>0</v>
      </c>
      <c r="AC94" s="48"/>
      <c r="AD94" s="63"/>
      <c r="AE94" s="51">
        <f t="shared" si="25"/>
        <v>0</v>
      </c>
      <c r="AF94" s="52">
        <f t="shared" si="26"/>
        <v>0</v>
      </c>
      <c r="AG94" s="52">
        <v>437816.66</v>
      </c>
      <c r="AH94" s="52">
        <v>437816.66</v>
      </c>
      <c r="AI94" s="52">
        <f t="shared" si="23"/>
        <v>0</v>
      </c>
      <c r="AJ94" s="124">
        <v>0</v>
      </c>
      <c r="AK94" s="45">
        <v>0</v>
      </c>
      <c r="AL94" s="52">
        <f t="shared" si="19"/>
        <v>0</v>
      </c>
      <c r="AM94" s="52">
        <f t="shared" si="20"/>
        <v>437816.66</v>
      </c>
      <c r="AN94" s="51">
        <f t="shared" si="21"/>
        <v>437816.66</v>
      </c>
      <c r="AO94" s="51">
        <f t="shared" si="22"/>
        <v>0</v>
      </c>
      <c r="AP94" s="125"/>
      <c r="AQ94" s="52"/>
      <c r="AR94" s="51"/>
      <c r="AS94" s="51">
        <f t="shared" si="28"/>
        <v>0</v>
      </c>
      <c r="AT94" s="126">
        <f t="shared" si="27"/>
        <v>0</v>
      </c>
      <c r="AU94" s="48"/>
      <c r="AV94" s="46"/>
    </row>
    <row r="95" spans="1:48" ht="20.25" hidden="1" x14ac:dyDescent="0.2">
      <c r="A95" s="32">
        <v>636</v>
      </c>
      <c r="B95" s="260"/>
      <c r="C95" s="120"/>
      <c r="D95" s="132">
        <v>324</v>
      </c>
      <c r="E95" s="254"/>
      <c r="F95" s="84"/>
      <c r="G95" s="84"/>
      <c r="H95" s="33" t="s">
        <v>552</v>
      </c>
      <c r="I95" s="107">
        <v>6223</v>
      </c>
      <c r="J95" s="107"/>
      <c r="K95" s="39">
        <v>2.14</v>
      </c>
      <c r="L95" s="118" t="s">
        <v>554</v>
      </c>
      <c r="M95" s="69" t="s">
        <v>117</v>
      </c>
      <c r="N95" s="42" t="s">
        <v>76</v>
      </c>
      <c r="O95" s="62" t="s">
        <v>118</v>
      </c>
      <c r="P95" s="46" t="s">
        <v>141</v>
      </c>
      <c r="Q95" s="62" t="s">
        <v>542</v>
      </c>
      <c r="R95" s="257"/>
      <c r="S95" s="45">
        <f t="shared" si="24"/>
        <v>175593.16</v>
      </c>
      <c r="T95" s="45">
        <v>175593.16</v>
      </c>
      <c r="U95" s="45">
        <v>0</v>
      </c>
      <c r="V95" s="109" t="s">
        <v>544</v>
      </c>
      <c r="W95" s="63">
        <v>41830</v>
      </c>
      <c r="X95" s="48"/>
      <c r="Y95" s="109" t="s">
        <v>234</v>
      </c>
      <c r="Z95" s="45"/>
      <c r="AA95" s="45"/>
      <c r="AB95" s="45">
        <f t="shared" si="18"/>
        <v>0</v>
      </c>
      <c r="AC95" s="48"/>
      <c r="AD95" s="63"/>
      <c r="AE95" s="51">
        <f t="shared" si="25"/>
        <v>0</v>
      </c>
      <c r="AF95" s="52">
        <f t="shared" si="26"/>
        <v>0</v>
      </c>
      <c r="AG95" s="52">
        <v>175593.16</v>
      </c>
      <c r="AH95" s="52">
        <v>175593.16</v>
      </c>
      <c r="AI95" s="52">
        <f t="shared" si="23"/>
        <v>0</v>
      </c>
      <c r="AJ95" s="124">
        <v>0</v>
      </c>
      <c r="AK95" s="45">
        <v>0</v>
      </c>
      <c r="AL95" s="52">
        <f t="shared" si="19"/>
        <v>0</v>
      </c>
      <c r="AM95" s="52">
        <f t="shared" si="20"/>
        <v>175593.16</v>
      </c>
      <c r="AN95" s="51">
        <f t="shared" si="21"/>
        <v>175593.16</v>
      </c>
      <c r="AO95" s="51">
        <f t="shared" si="22"/>
        <v>0</v>
      </c>
      <c r="AP95" s="125"/>
      <c r="AQ95" s="52"/>
      <c r="AR95" s="51"/>
      <c r="AS95" s="51">
        <f t="shared" si="28"/>
        <v>0</v>
      </c>
      <c r="AT95" s="126">
        <f t="shared" si="27"/>
        <v>0</v>
      </c>
      <c r="AU95" s="48"/>
      <c r="AV95" s="46"/>
    </row>
    <row r="96" spans="1:48" ht="20.25" hidden="1" x14ac:dyDescent="0.2">
      <c r="A96" s="32">
        <v>636</v>
      </c>
      <c r="B96" s="260"/>
      <c r="C96" s="120"/>
      <c r="D96" s="132">
        <v>325</v>
      </c>
      <c r="E96" s="254"/>
      <c r="F96" s="84"/>
      <c r="G96" s="84"/>
      <c r="H96" s="33" t="s">
        <v>552</v>
      </c>
      <c r="I96" s="107">
        <v>6223</v>
      </c>
      <c r="J96" s="107"/>
      <c r="K96" s="39">
        <v>2.14</v>
      </c>
      <c r="L96" s="118" t="s">
        <v>555</v>
      </c>
      <c r="M96" s="69" t="s">
        <v>117</v>
      </c>
      <c r="N96" s="42" t="s">
        <v>76</v>
      </c>
      <c r="O96" s="62" t="s">
        <v>118</v>
      </c>
      <c r="P96" s="46" t="s">
        <v>141</v>
      </c>
      <c r="Q96" s="62" t="s">
        <v>542</v>
      </c>
      <c r="R96" s="257"/>
      <c r="S96" s="45">
        <f t="shared" si="24"/>
        <v>108021.95</v>
      </c>
      <c r="T96" s="45">
        <v>108021.95</v>
      </c>
      <c r="U96" s="45">
        <v>0</v>
      </c>
      <c r="V96" s="109" t="s">
        <v>544</v>
      </c>
      <c r="W96" s="63">
        <v>41830</v>
      </c>
      <c r="X96" s="48"/>
      <c r="Y96" s="109" t="s">
        <v>234</v>
      </c>
      <c r="Z96" s="45"/>
      <c r="AA96" s="45"/>
      <c r="AB96" s="45">
        <f t="shared" si="18"/>
        <v>0</v>
      </c>
      <c r="AC96" s="48"/>
      <c r="AD96" s="63"/>
      <c r="AE96" s="51">
        <f t="shared" si="25"/>
        <v>0</v>
      </c>
      <c r="AF96" s="52">
        <f t="shared" si="26"/>
        <v>0</v>
      </c>
      <c r="AG96" s="52">
        <v>108021.95</v>
      </c>
      <c r="AH96" s="52">
        <v>108021.95</v>
      </c>
      <c r="AI96" s="52">
        <f t="shared" si="23"/>
        <v>0</v>
      </c>
      <c r="AJ96" s="124">
        <v>0</v>
      </c>
      <c r="AK96" s="45">
        <v>0</v>
      </c>
      <c r="AL96" s="52">
        <f t="shared" si="19"/>
        <v>0</v>
      </c>
      <c r="AM96" s="52">
        <f t="shared" si="20"/>
        <v>108021.95</v>
      </c>
      <c r="AN96" s="51">
        <f t="shared" si="21"/>
        <v>108021.95</v>
      </c>
      <c r="AO96" s="51">
        <f t="shared" si="22"/>
        <v>0</v>
      </c>
      <c r="AP96" s="125"/>
      <c r="AQ96" s="52"/>
      <c r="AR96" s="51"/>
      <c r="AS96" s="51">
        <f t="shared" si="28"/>
        <v>0</v>
      </c>
      <c r="AT96" s="126">
        <f t="shared" si="27"/>
        <v>0</v>
      </c>
      <c r="AU96" s="48"/>
      <c r="AV96" s="46"/>
    </row>
    <row r="97" spans="1:48" ht="33.75" hidden="1" x14ac:dyDescent="0.2">
      <c r="A97" s="32">
        <v>636</v>
      </c>
      <c r="B97" s="260"/>
      <c r="C97" s="120"/>
      <c r="D97" s="132">
        <v>335</v>
      </c>
      <c r="E97" s="254"/>
      <c r="F97" s="84"/>
      <c r="G97" s="84"/>
      <c r="H97" s="33" t="s">
        <v>556</v>
      </c>
      <c r="I97" s="107">
        <v>6223</v>
      </c>
      <c r="J97" s="107"/>
      <c r="K97" s="39">
        <v>2.15</v>
      </c>
      <c r="L97" s="40" t="s">
        <v>557</v>
      </c>
      <c r="M97" s="69" t="s">
        <v>117</v>
      </c>
      <c r="N97" s="42" t="s">
        <v>76</v>
      </c>
      <c r="O97" s="62" t="s">
        <v>118</v>
      </c>
      <c r="P97" s="46" t="s">
        <v>141</v>
      </c>
      <c r="Q97" s="62" t="s">
        <v>542</v>
      </c>
      <c r="R97" s="257"/>
      <c r="S97" s="45">
        <f t="shared" si="24"/>
        <v>460952.71</v>
      </c>
      <c r="T97" s="45">
        <v>460952.71</v>
      </c>
      <c r="U97" s="45">
        <v>0</v>
      </c>
      <c r="V97" s="109" t="s">
        <v>544</v>
      </c>
      <c r="W97" s="63">
        <v>41830</v>
      </c>
      <c r="X97" s="48"/>
      <c r="Y97" s="109" t="s">
        <v>234</v>
      </c>
      <c r="Z97" s="45"/>
      <c r="AA97" s="45"/>
      <c r="AB97" s="45">
        <f t="shared" ref="AB97:AB156" si="29">Z97-AA97</f>
        <v>0</v>
      </c>
      <c r="AC97" s="48"/>
      <c r="AD97" s="63"/>
      <c r="AE97" s="51">
        <f t="shared" si="25"/>
        <v>0</v>
      </c>
      <c r="AF97" s="52">
        <f t="shared" si="26"/>
        <v>0</v>
      </c>
      <c r="AG97" s="52">
        <v>460952.71</v>
      </c>
      <c r="AH97" s="52">
        <v>460952.71</v>
      </c>
      <c r="AI97" s="52">
        <f t="shared" si="23"/>
        <v>0</v>
      </c>
      <c r="AJ97" s="124">
        <v>0</v>
      </c>
      <c r="AK97" s="45">
        <v>0</v>
      </c>
      <c r="AL97" s="52">
        <f t="shared" ref="AL97:AL156" si="30">+AJ97-AK97</f>
        <v>0</v>
      </c>
      <c r="AM97" s="52">
        <f t="shared" ref="AM97:AM156" si="31">SUM(AG97+Z97)+AJ97</f>
        <v>460952.71</v>
      </c>
      <c r="AN97" s="51">
        <f t="shared" ref="AN97:AN156" si="32">SUM(AA97+AH97)+AK97</f>
        <v>460952.71</v>
      </c>
      <c r="AO97" s="51">
        <f t="shared" ref="AO97:AO156" si="33">+AM97-AN97</f>
        <v>0</v>
      </c>
      <c r="AP97" s="125"/>
      <c r="AQ97" s="52"/>
      <c r="AR97" s="51"/>
      <c r="AS97" s="51">
        <f t="shared" si="28"/>
        <v>0</v>
      </c>
      <c r="AT97" s="126">
        <f t="shared" si="27"/>
        <v>0</v>
      </c>
      <c r="AU97" s="48"/>
      <c r="AV97" s="46"/>
    </row>
    <row r="98" spans="1:48" ht="27" hidden="1" customHeight="1" x14ac:dyDescent="0.2">
      <c r="A98" s="32">
        <v>636</v>
      </c>
      <c r="B98" s="260"/>
      <c r="C98" s="120"/>
      <c r="D98" s="132">
        <v>336</v>
      </c>
      <c r="E98" s="254"/>
      <c r="F98" s="84"/>
      <c r="G98" s="84"/>
      <c r="H98" s="33" t="s">
        <v>556</v>
      </c>
      <c r="I98" s="107">
        <v>6223</v>
      </c>
      <c r="J98" s="107"/>
      <c r="K98" s="39">
        <v>2.15</v>
      </c>
      <c r="L98" s="118" t="s">
        <v>558</v>
      </c>
      <c r="M98" s="69" t="s">
        <v>117</v>
      </c>
      <c r="N98" s="42" t="s">
        <v>76</v>
      </c>
      <c r="O98" s="62" t="s">
        <v>118</v>
      </c>
      <c r="P98" s="46" t="s">
        <v>141</v>
      </c>
      <c r="Q98" s="62" t="s">
        <v>542</v>
      </c>
      <c r="R98" s="257"/>
      <c r="S98" s="45">
        <f t="shared" si="24"/>
        <v>38815.71</v>
      </c>
      <c r="T98" s="45">
        <v>38815.71</v>
      </c>
      <c r="U98" s="45">
        <v>0</v>
      </c>
      <c r="V98" s="109" t="s">
        <v>544</v>
      </c>
      <c r="W98" s="63">
        <v>41830</v>
      </c>
      <c r="X98" s="48"/>
      <c r="Y98" s="109" t="s">
        <v>234</v>
      </c>
      <c r="Z98" s="45"/>
      <c r="AA98" s="45"/>
      <c r="AB98" s="45">
        <f t="shared" si="29"/>
        <v>0</v>
      </c>
      <c r="AC98" s="48"/>
      <c r="AD98" s="63"/>
      <c r="AE98" s="51">
        <f t="shared" si="25"/>
        <v>0</v>
      </c>
      <c r="AF98" s="52">
        <f t="shared" si="26"/>
        <v>0</v>
      </c>
      <c r="AG98" s="52">
        <v>38815.71</v>
      </c>
      <c r="AH98" s="52">
        <v>38815.71</v>
      </c>
      <c r="AI98" s="52">
        <f t="shared" si="23"/>
        <v>0</v>
      </c>
      <c r="AJ98" s="124">
        <v>0</v>
      </c>
      <c r="AK98" s="45">
        <v>0</v>
      </c>
      <c r="AL98" s="52">
        <f t="shared" si="30"/>
        <v>0</v>
      </c>
      <c r="AM98" s="52">
        <f t="shared" si="31"/>
        <v>38815.71</v>
      </c>
      <c r="AN98" s="51">
        <f t="shared" si="32"/>
        <v>38815.71</v>
      </c>
      <c r="AO98" s="51">
        <f t="shared" si="33"/>
        <v>0</v>
      </c>
      <c r="AP98" s="125"/>
      <c r="AQ98" s="52"/>
      <c r="AR98" s="51"/>
      <c r="AS98" s="51">
        <f t="shared" si="28"/>
        <v>0</v>
      </c>
      <c r="AT98" s="126">
        <f t="shared" si="27"/>
        <v>0</v>
      </c>
      <c r="AU98" s="48"/>
      <c r="AV98" s="46"/>
    </row>
    <row r="99" spans="1:48" ht="20.25" hidden="1" customHeight="1" x14ac:dyDescent="0.2">
      <c r="A99" s="32">
        <v>636</v>
      </c>
      <c r="B99" s="260"/>
      <c r="C99" s="120"/>
      <c r="D99" s="132">
        <v>326</v>
      </c>
      <c r="E99" s="254"/>
      <c r="F99" s="84"/>
      <c r="G99" s="84"/>
      <c r="H99" s="33" t="s">
        <v>559</v>
      </c>
      <c r="I99" s="107">
        <v>6223</v>
      </c>
      <c r="J99" s="107"/>
      <c r="K99" s="39">
        <v>2.16</v>
      </c>
      <c r="L99" s="118" t="s">
        <v>560</v>
      </c>
      <c r="M99" s="69" t="s">
        <v>117</v>
      </c>
      <c r="N99" s="42" t="s">
        <v>76</v>
      </c>
      <c r="O99" s="62" t="s">
        <v>118</v>
      </c>
      <c r="P99" s="46" t="s">
        <v>141</v>
      </c>
      <c r="Q99" s="62" t="s">
        <v>542</v>
      </c>
      <c r="R99" s="257"/>
      <c r="S99" s="45">
        <f t="shared" si="24"/>
        <v>1780050.24</v>
      </c>
      <c r="T99" s="45">
        <v>1780050.24</v>
      </c>
      <c r="U99" s="45">
        <v>0</v>
      </c>
      <c r="V99" s="109" t="s">
        <v>544</v>
      </c>
      <c r="W99" s="63">
        <v>41830</v>
      </c>
      <c r="X99" s="48"/>
      <c r="Y99" s="109" t="s">
        <v>234</v>
      </c>
      <c r="Z99" s="45"/>
      <c r="AA99" s="45"/>
      <c r="AB99" s="45">
        <f t="shared" si="29"/>
        <v>0</v>
      </c>
      <c r="AC99" s="48"/>
      <c r="AD99" s="63"/>
      <c r="AE99" s="51">
        <f t="shared" si="25"/>
        <v>0</v>
      </c>
      <c r="AF99" s="52">
        <f t="shared" si="26"/>
        <v>0</v>
      </c>
      <c r="AG99" s="52">
        <v>1780050.24</v>
      </c>
      <c r="AH99" s="52">
        <v>1780050.24</v>
      </c>
      <c r="AI99" s="52">
        <f t="shared" si="23"/>
        <v>0</v>
      </c>
      <c r="AJ99" s="124">
        <v>0</v>
      </c>
      <c r="AK99" s="45">
        <v>0</v>
      </c>
      <c r="AL99" s="52">
        <f t="shared" si="30"/>
        <v>0</v>
      </c>
      <c r="AM99" s="52">
        <f t="shared" si="31"/>
        <v>1780050.24</v>
      </c>
      <c r="AN99" s="51">
        <f t="shared" si="32"/>
        <v>1780050.24</v>
      </c>
      <c r="AO99" s="51">
        <f t="shared" si="33"/>
        <v>0</v>
      </c>
      <c r="AP99" s="125"/>
      <c r="AQ99" s="52"/>
      <c r="AR99" s="51"/>
      <c r="AS99" s="51">
        <f t="shared" si="28"/>
        <v>0</v>
      </c>
      <c r="AT99" s="126">
        <f t="shared" si="27"/>
        <v>0</v>
      </c>
      <c r="AU99" s="48"/>
      <c r="AV99" s="46"/>
    </row>
    <row r="100" spans="1:48" ht="20.25" hidden="1" customHeight="1" x14ac:dyDescent="0.2">
      <c r="A100" s="32">
        <v>636</v>
      </c>
      <c r="B100" s="260"/>
      <c r="C100" s="120"/>
      <c r="D100" s="132">
        <v>327</v>
      </c>
      <c r="E100" s="254"/>
      <c r="F100" s="84"/>
      <c r="G100" s="84"/>
      <c r="H100" s="33" t="s">
        <v>559</v>
      </c>
      <c r="I100" s="107">
        <v>6223</v>
      </c>
      <c r="J100" s="107"/>
      <c r="K100" s="39">
        <v>2.16</v>
      </c>
      <c r="L100" s="118" t="s">
        <v>561</v>
      </c>
      <c r="M100" s="69" t="s">
        <v>117</v>
      </c>
      <c r="N100" s="42" t="s">
        <v>76</v>
      </c>
      <c r="O100" s="62" t="s">
        <v>118</v>
      </c>
      <c r="P100" s="46" t="s">
        <v>141</v>
      </c>
      <c r="Q100" s="62" t="s">
        <v>542</v>
      </c>
      <c r="R100" s="257"/>
      <c r="S100" s="45">
        <f t="shared" si="24"/>
        <v>504889.37</v>
      </c>
      <c r="T100" s="45">
        <v>504889.37</v>
      </c>
      <c r="U100" s="45">
        <v>0</v>
      </c>
      <c r="V100" s="109" t="s">
        <v>544</v>
      </c>
      <c r="W100" s="63">
        <v>41830</v>
      </c>
      <c r="X100" s="48"/>
      <c r="Y100" s="109" t="s">
        <v>234</v>
      </c>
      <c r="Z100" s="45"/>
      <c r="AA100" s="45"/>
      <c r="AB100" s="45">
        <f t="shared" si="29"/>
        <v>0</v>
      </c>
      <c r="AC100" s="48"/>
      <c r="AD100" s="63"/>
      <c r="AE100" s="51">
        <f t="shared" si="25"/>
        <v>0</v>
      </c>
      <c r="AF100" s="52">
        <f t="shared" si="26"/>
        <v>0</v>
      </c>
      <c r="AG100" s="52">
        <v>504889.37</v>
      </c>
      <c r="AH100" s="52">
        <v>504889.37</v>
      </c>
      <c r="AI100" s="52">
        <f t="shared" si="23"/>
        <v>0</v>
      </c>
      <c r="AJ100" s="124">
        <v>0</v>
      </c>
      <c r="AK100" s="45">
        <v>0</v>
      </c>
      <c r="AL100" s="52">
        <f t="shared" si="30"/>
        <v>0</v>
      </c>
      <c r="AM100" s="52">
        <f t="shared" si="31"/>
        <v>504889.37</v>
      </c>
      <c r="AN100" s="51">
        <f t="shared" si="32"/>
        <v>504889.37</v>
      </c>
      <c r="AO100" s="51">
        <f t="shared" si="33"/>
        <v>0</v>
      </c>
      <c r="AP100" s="125"/>
      <c r="AQ100" s="52"/>
      <c r="AR100" s="51"/>
      <c r="AS100" s="51">
        <f t="shared" si="28"/>
        <v>0</v>
      </c>
      <c r="AT100" s="126">
        <f t="shared" si="27"/>
        <v>0</v>
      </c>
      <c r="AU100" s="48"/>
      <c r="AV100" s="46"/>
    </row>
    <row r="101" spans="1:48" ht="27" hidden="1" customHeight="1" x14ac:dyDescent="0.2">
      <c r="A101" s="32">
        <v>636</v>
      </c>
      <c r="B101" s="260"/>
      <c r="C101" s="120"/>
      <c r="D101" s="132">
        <v>337</v>
      </c>
      <c r="E101" s="254"/>
      <c r="F101" s="84"/>
      <c r="G101" s="84"/>
      <c r="H101" s="33" t="s">
        <v>562</v>
      </c>
      <c r="I101" s="107">
        <v>6223</v>
      </c>
      <c r="J101" s="107"/>
      <c r="K101" s="39">
        <v>2.17</v>
      </c>
      <c r="L101" s="118" t="s">
        <v>563</v>
      </c>
      <c r="M101" s="69" t="s">
        <v>117</v>
      </c>
      <c r="N101" s="42" t="s">
        <v>76</v>
      </c>
      <c r="O101" s="62" t="s">
        <v>118</v>
      </c>
      <c r="P101" s="46" t="s">
        <v>141</v>
      </c>
      <c r="Q101" s="62" t="s">
        <v>542</v>
      </c>
      <c r="R101" s="257"/>
      <c r="S101" s="45">
        <f t="shared" si="24"/>
        <v>395514.79</v>
      </c>
      <c r="T101" s="45">
        <v>395514.79</v>
      </c>
      <c r="U101" s="45">
        <v>0</v>
      </c>
      <c r="V101" s="109" t="s">
        <v>544</v>
      </c>
      <c r="W101" s="63">
        <v>41830</v>
      </c>
      <c r="X101" s="48"/>
      <c r="Y101" s="109" t="s">
        <v>234</v>
      </c>
      <c r="Z101" s="45"/>
      <c r="AA101" s="45"/>
      <c r="AB101" s="45">
        <f t="shared" si="29"/>
        <v>0</v>
      </c>
      <c r="AC101" s="48"/>
      <c r="AD101" s="63"/>
      <c r="AE101" s="51">
        <f t="shared" si="25"/>
        <v>0</v>
      </c>
      <c r="AF101" s="52">
        <f t="shared" si="26"/>
        <v>0</v>
      </c>
      <c r="AG101" s="52">
        <v>395514.79</v>
      </c>
      <c r="AH101" s="52">
        <f>391051.03+4463.76</f>
        <v>395514.79000000004</v>
      </c>
      <c r="AI101" s="52">
        <f t="shared" si="23"/>
        <v>-5.8207660913467407E-11</v>
      </c>
      <c r="AJ101" s="124">
        <v>0</v>
      </c>
      <c r="AK101" s="45">
        <v>0</v>
      </c>
      <c r="AL101" s="52">
        <f t="shared" si="30"/>
        <v>0</v>
      </c>
      <c r="AM101" s="52">
        <f t="shared" si="31"/>
        <v>395514.79</v>
      </c>
      <c r="AN101" s="51">
        <f t="shared" si="32"/>
        <v>395514.79000000004</v>
      </c>
      <c r="AO101" s="51">
        <f t="shared" si="33"/>
        <v>0</v>
      </c>
      <c r="AP101" s="125"/>
      <c r="AQ101" s="52"/>
      <c r="AR101" s="51"/>
      <c r="AS101" s="51">
        <f t="shared" si="28"/>
        <v>0</v>
      </c>
      <c r="AT101" s="126">
        <f t="shared" si="27"/>
        <v>-5.8207660913467407E-11</v>
      </c>
      <c r="AU101" s="48"/>
      <c r="AV101" s="46"/>
    </row>
    <row r="102" spans="1:48" ht="27" hidden="1" customHeight="1" x14ac:dyDescent="0.2">
      <c r="A102" s="32">
        <v>636</v>
      </c>
      <c r="B102" s="260"/>
      <c r="C102" s="120"/>
      <c r="D102" s="132">
        <v>338</v>
      </c>
      <c r="E102" s="254"/>
      <c r="F102" s="84"/>
      <c r="G102" s="84"/>
      <c r="H102" s="33" t="s">
        <v>562</v>
      </c>
      <c r="I102" s="107">
        <v>6223</v>
      </c>
      <c r="J102" s="107"/>
      <c r="K102" s="39">
        <v>2.17</v>
      </c>
      <c r="L102" s="118" t="s">
        <v>563</v>
      </c>
      <c r="M102" s="69" t="s">
        <v>117</v>
      </c>
      <c r="N102" s="42" t="s">
        <v>76</v>
      </c>
      <c r="O102" s="62" t="s">
        <v>118</v>
      </c>
      <c r="P102" s="46" t="s">
        <v>141</v>
      </c>
      <c r="Q102" s="62" t="s">
        <v>542</v>
      </c>
      <c r="R102" s="257"/>
      <c r="S102" s="45">
        <f t="shared" si="24"/>
        <v>372780.42</v>
      </c>
      <c r="T102" s="45">
        <v>372780.42</v>
      </c>
      <c r="U102" s="45">
        <v>0</v>
      </c>
      <c r="V102" s="109" t="s">
        <v>544</v>
      </c>
      <c r="W102" s="63">
        <v>41830</v>
      </c>
      <c r="X102" s="48"/>
      <c r="Y102" s="109" t="s">
        <v>234</v>
      </c>
      <c r="Z102" s="45"/>
      <c r="AA102" s="45"/>
      <c r="AB102" s="45">
        <f t="shared" si="29"/>
        <v>0</v>
      </c>
      <c r="AC102" s="48"/>
      <c r="AD102" s="63"/>
      <c r="AE102" s="51">
        <f t="shared" si="25"/>
        <v>0</v>
      </c>
      <c r="AF102" s="52">
        <f t="shared" si="26"/>
        <v>0</v>
      </c>
      <c r="AG102" s="52">
        <v>372780.42</v>
      </c>
      <c r="AH102" s="52">
        <v>372780.42</v>
      </c>
      <c r="AI102" s="52">
        <f t="shared" si="23"/>
        <v>0</v>
      </c>
      <c r="AJ102" s="124">
        <v>0</v>
      </c>
      <c r="AK102" s="45">
        <v>0</v>
      </c>
      <c r="AL102" s="52">
        <f t="shared" si="30"/>
        <v>0</v>
      </c>
      <c r="AM102" s="52">
        <f t="shared" si="31"/>
        <v>372780.42</v>
      </c>
      <c r="AN102" s="51">
        <f t="shared" si="32"/>
        <v>372780.42</v>
      </c>
      <c r="AO102" s="51">
        <f t="shared" si="33"/>
        <v>0</v>
      </c>
      <c r="AP102" s="125"/>
      <c r="AQ102" s="52"/>
      <c r="AR102" s="51"/>
      <c r="AS102" s="51">
        <f t="shared" si="28"/>
        <v>0</v>
      </c>
      <c r="AT102" s="126">
        <f t="shared" si="27"/>
        <v>0</v>
      </c>
      <c r="AU102" s="48"/>
      <c r="AV102" s="46"/>
    </row>
    <row r="103" spans="1:48" s="61" customFormat="1" ht="20.25" hidden="1" customHeight="1" x14ac:dyDescent="0.2">
      <c r="A103" s="32">
        <v>636</v>
      </c>
      <c r="B103" s="260"/>
      <c r="C103" s="120"/>
      <c r="D103" s="132">
        <v>328</v>
      </c>
      <c r="E103" s="254"/>
      <c r="F103" s="84"/>
      <c r="G103" s="84"/>
      <c r="H103" s="33" t="s">
        <v>564</v>
      </c>
      <c r="I103" s="107">
        <v>6223</v>
      </c>
      <c r="J103" s="107"/>
      <c r="K103" s="39">
        <v>2.1800000000000002</v>
      </c>
      <c r="L103" s="118" t="s">
        <v>565</v>
      </c>
      <c r="M103" s="69" t="s">
        <v>117</v>
      </c>
      <c r="N103" s="42" t="s">
        <v>76</v>
      </c>
      <c r="O103" s="62" t="s">
        <v>118</v>
      </c>
      <c r="P103" s="46" t="s">
        <v>141</v>
      </c>
      <c r="Q103" s="62" t="s">
        <v>542</v>
      </c>
      <c r="R103" s="257"/>
      <c r="S103" s="45">
        <f t="shared" si="24"/>
        <v>1000147.54</v>
      </c>
      <c r="T103" s="45">
        <v>1000147.54</v>
      </c>
      <c r="U103" s="45">
        <v>0</v>
      </c>
      <c r="V103" s="109" t="s">
        <v>544</v>
      </c>
      <c r="W103" s="63">
        <v>41830</v>
      </c>
      <c r="X103" s="48"/>
      <c r="Y103" s="109" t="s">
        <v>234</v>
      </c>
      <c r="Z103" s="45"/>
      <c r="AA103" s="45"/>
      <c r="AB103" s="45">
        <f t="shared" si="29"/>
        <v>0</v>
      </c>
      <c r="AC103" s="48"/>
      <c r="AD103" s="63"/>
      <c r="AE103" s="51">
        <f t="shared" si="25"/>
        <v>0</v>
      </c>
      <c r="AF103" s="52">
        <f t="shared" si="26"/>
        <v>0</v>
      </c>
      <c r="AG103" s="52">
        <v>1000147.54</v>
      </c>
      <c r="AH103" s="52">
        <f>212356.6+787790.94</f>
        <v>1000147.5399999999</v>
      </c>
      <c r="AI103" s="52">
        <f t="shared" si="23"/>
        <v>1.1641532182693481E-10</v>
      </c>
      <c r="AJ103" s="124">
        <v>0</v>
      </c>
      <c r="AK103" s="45">
        <v>0</v>
      </c>
      <c r="AL103" s="52">
        <f t="shared" si="30"/>
        <v>0</v>
      </c>
      <c r="AM103" s="52">
        <f t="shared" si="31"/>
        <v>1000147.54</v>
      </c>
      <c r="AN103" s="51">
        <f t="shared" si="32"/>
        <v>1000147.5399999999</v>
      </c>
      <c r="AO103" s="51">
        <f t="shared" si="33"/>
        <v>0</v>
      </c>
      <c r="AP103" s="133"/>
      <c r="AQ103" s="115"/>
      <c r="AR103" s="75"/>
      <c r="AS103" s="51">
        <f t="shared" si="28"/>
        <v>0</v>
      </c>
      <c r="AT103" s="126">
        <f t="shared" si="27"/>
        <v>1.1641532182693481E-10</v>
      </c>
      <c r="AU103" s="60"/>
      <c r="AV103" s="59"/>
    </row>
    <row r="104" spans="1:48" ht="27" hidden="1" customHeight="1" x14ac:dyDescent="0.2">
      <c r="A104" s="32">
        <v>636</v>
      </c>
      <c r="B104" s="260"/>
      <c r="C104" s="120"/>
      <c r="D104" s="132">
        <v>339</v>
      </c>
      <c r="E104" s="254"/>
      <c r="F104" s="84"/>
      <c r="G104" s="84"/>
      <c r="H104" s="33" t="s">
        <v>566</v>
      </c>
      <c r="I104" s="107">
        <v>6223</v>
      </c>
      <c r="J104" s="107"/>
      <c r="K104" s="39">
        <v>2.19</v>
      </c>
      <c r="L104" s="118" t="s">
        <v>567</v>
      </c>
      <c r="M104" s="69" t="s">
        <v>117</v>
      </c>
      <c r="N104" s="42" t="s">
        <v>76</v>
      </c>
      <c r="O104" s="62" t="s">
        <v>118</v>
      </c>
      <c r="P104" s="46" t="s">
        <v>141</v>
      </c>
      <c r="Q104" s="62" t="s">
        <v>542</v>
      </c>
      <c r="R104" s="257"/>
      <c r="S104" s="45">
        <f t="shared" si="24"/>
        <v>314332.21000000002</v>
      </c>
      <c r="T104" s="45">
        <v>314332.21000000002</v>
      </c>
      <c r="U104" s="45">
        <v>0</v>
      </c>
      <c r="V104" s="109" t="s">
        <v>544</v>
      </c>
      <c r="W104" s="63">
        <v>41830</v>
      </c>
      <c r="X104" s="48"/>
      <c r="Y104" s="109" t="s">
        <v>234</v>
      </c>
      <c r="Z104" s="45"/>
      <c r="AA104" s="45"/>
      <c r="AB104" s="45">
        <f t="shared" si="29"/>
        <v>0</v>
      </c>
      <c r="AC104" s="48"/>
      <c r="AD104" s="63"/>
      <c r="AE104" s="51">
        <f t="shared" si="25"/>
        <v>0</v>
      </c>
      <c r="AF104" s="52">
        <f t="shared" si="26"/>
        <v>0</v>
      </c>
      <c r="AG104" s="52">
        <v>314332.21000000002</v>
      </c>
      <c r="AH104" s="52">
        <v>314332.21000000002</v>
      </c>
      <c r="AI104" s="52">
        <f t="shared" si="23"/>
        <v>0</v>
      </c>
      <c r="AJ104" s="124">
        <v>0</v>
      </c>
      <c r="AK104" s="45">
        <v>0</v>
      </c>
      <c r="AL104" s="52">
        <f t="shared" si="30"/>
        <v>0</v>
      </c>
      <c r="AM104" s="52">
        <f t="shared" si="31"/>
        <v>314332.21000000002</v>
      </c>
      <c r="AN104" s="51">
        <f t="shared" si="32"/>
        <v>314332.21000000002</v>
      </c>
      <c r="AO104" s="51">
        <f t="shared" si="33"/>
        <v>0</v>
      </c>
      <c r="AP104" s="125"/>
      <c r="AQ104" s="52"/>
      <c r="AR104" s="51"/>
      <c r="AS104" s="51">
        <f t="shared" si="28"/>
        <v>0</v>
      </c>
      <c r="AT104" s="126">
        <f t="shared" si="27"/>
        <v>0</v>
      </c>
      <c r="AU104" s="48"/>
      <c r="AV104" s="46"/>
    </row>
    <row r="105" spans="1:48" ht="27" hidden="1" customHeight="1" x14ac:dyDescent="0.2">
      <c r="A105" s="32">
        <v>636</v>
      </c>
      <c r="B105" s="260"/>
      <c r="C105" s="120"/>
      <c r="D105" s="132">
        <v>340</v>
      </c>
      <c r="E105" s="254"/>
      <c r="F105" s="84" t="s">
        <v>59</v>
      </c>
      <c r="G105" s="84"/>
      <c r="H105" s="33" t="s">
        <v>566</v>
      </c>
      <c r="I105" s="107">
        <v>6223</v>
      </c>
      <c r="J105" s="107"/>
      <c r="K105" s="39">
        <v>2.19</v>
      </c>
      <c r="L105" s="118" t="s">
        <v>568</v>
      </c>
      <c r="M105" s="69" t="s">
        <v>117</v>
      </c>
      <c r="N105" s="42" t="s">
        <v>76</v>
      </c>
      <c r="O105" s="62" t="s">
        <v>118</v>
      </c>
      <c r="P105" s="46" t="s">
        <v>141</v>
      </c>
      <c r="Q105" s="62" t="s">
        <v>542</v>
      </c>
      <c r="R105" s="257"/>
      <c r="S105" s="45">
        <f t="shared" si="24"/>
        <v>244586.09999999998</v>
      </c>
      <c r="T105" s="45">
        <f>477201.54-232615.44</f>
        <v>244586.09999999998</v>
      </c>
      <c r="U105" s="45">
        <v>0</v>
      </c>
      <c r="V105" s="109" t="s">
        <v>544</v>
      </c>
      <c r="W105" s="63">
        <v>41830</v>
      </c>
      <c r="X105" s="48"/>
      <c r="Y105" s="109" t="s">
        <v>234</v>
      </c>
      <c r="Z105" s="45"/>
      <c r="AA105" s="45"/>
      <c r="AB105" s="45">
        <f t="shared" si="29"/>
        <v>0</v>
      </c>
      <c r="AC105" s="48"/>
      <c r="AD105" s="63"/>
      <c r="AE105" s="51">
        <f t="shared" si="25"/>
        <v>0</v>
      </c>
      <c r="AF105" s="52">
        <f t="shared" si="26"/>
        <v>-2.9103830456733704E-11</v>
      </c>
      <c r="AG105" s="52">
        <v>244586.1</v>
      </c>
      <c r="AH105" s="52">
        <v>244586.1</v>
      </c>
      <c r="AI105" s="52">
        <f t="shared" si="23"/>
        <v>0</v>
      </c>
      <c r="AJ105" s="124">
        <v>0</v>
      </c>
      <c r="AK105" s="45">
        <v>0</v>
      </c>
      <c r="AL105" s="52">
        <f t="shared" si="30"/>
        <v>0</v>
      </c>
      <c r="AM105" s="52">
        <f t="shared" si="31"/>
        <v>244586.1</v>
      </c>
      <c r="AN105" s="51">
        <f t="shared" si="32"/>
        <v>244586.1</v>
      </c>
      <c r="AO105" s="51">
        <f t="shared" si="33"/>
        <v>0</v>
      </c>
      <c r="AP105" s="125"/>
      <c r="AQ105" s="52"/>
      <c r="AR105" s="51"/>
      <c r="AS105" s="51">
        <f t="shared" si="28"/>
        <v>0</v>
      </c>
      <c r="AT105" s="126">
        <f t="shared" si="27"/>
        <v>-2.9103830456733704E-11</v>
      </c>
      <c r="AU105" s="48"/>
      <c r="AV105" s="46"/>
    </row>
    <row r="106" spans="1:48" ht="20.25" hidden="1" x14ac:dyDescent="0.2">
      <c r="A106" s="32">
        <v>636</v>
      </c>
      <c r="B106" s="260"/>
      <c r="C106" s="120"/>
      <c r="D106" s="132">
        <v>329</v>
      </c>
      <c r="E106" s="254"/>
      <c r="F106" s="84"/>
      <c r="G106" s="84"/>
      <c r="H106" s="33" t="s">
        <v>569</v>
      </c>
      <c r="I106" s="107">
        <v>6223</v>
      </c>
      <c r="J106" s="107"/>
      <c r="K106" s="39">
        <v>2.2000000000000002</v>
      </c>
      <c r="L106" s="118" t="s">
        <v>570</v>
      </c>
      <c r="M106" s="69" t="s">
        <v>117</v>
      </c>
      <c r="N106" s="42" t="s">
        <v>76</v>
      </c>
      <c r="O106" s="62" t="s">
        <v>118</v>
      </c>
      <c r="P106" s="46" t="s">
        <v>141</v>
      </c>
      <c r="Q106" s="62" t="s">
        <v>542</v>
      </c>
      <c r="R106" s="257"/>
      <c r="S106" s="45">
        <f t="shared" si="24"/>
        <v>996177.4</v>
      </c>
      <c r="T106" s="45">
        <v>996177.4</v>
      </c>
      <c r="U106" s="45">
        <v>0</v>
      </c>
      <c r="V106" s="109" t="s">
        <v>544</v>
      </c>
      <c r="W106" s="63">
        <v>41830</v>
      </c>
      <c r="X106" s="48"/>
      <c r="Y106" s="109" t="s">
        <v>234</v>
      </c>
      <c r="Z106" s="45"/>
      <c r="AA106" s="45"/>
      <c r="AB106" s="45">
        <f t="shared" si="29"/>
        <v>0</v>
      </c>
      <c r="AC106" s="48"/>
      <c r="AD106" s="63"/>
      <c r="AE106" s="51">
        <f t="shared" si="25"/>
        <v>0</v>
      </c>
      <c r="AF106" s="52">
        <f t="shared" si="26"/>
        <v>0</v>
      </c>
      <c r="AG106" s="52">
        <v>996177.4</v>
      </c>
      <c r="AH106" s="52">
        <v>996177.4</v>
      </c>
      <c r="AI106" s="52">
        <f t="shared" si="23"/>
        <v>0</v>
      </c>
      <c r="AJ106" s="124">
        <v>0</v>
      </c>
      <c r="AK106" s="45">
        <v>0</v>
      </c>
      <c r="AL106" s="52">
        <f t="shared" si="30"/>
        <v>0</v>
      </c>
      <c r="AM106" s="52">
        <f t="shared" si="31"/>
        <v>996177.4</v>
      </c>
      <c r="AN106" s="51">
        <f t="shared" si="32"/>
        <v>996177.4</v>
      </c>
      <c r="AO106" s="51">
        <f t="shared" si="33"/>
        <v>0</v>
      </c>
      <c r="AP106" s="125"/>
      <c r="AQ106" s="52"/>
      <c r="AR106" s="51"/>
      <c r="AS106" s="51">
        <f t="shared" si="28"/>
        <v>0</v>
      </c>
      <c r="AT106" s="126">
        <f t="shared" si="27"/>
        <v>0</v>
      </c>
      <c r="AU106" s="48"/>
      <c r="AV106" s="46"/>
    </row>
    <row r="107" spans="1:48" ht="16.5" hidden="1" customHeight="1" x14ac:dyDescent="0.2">
      <c r="A107" s="32">
        <v>636</v>
      </c>
      <c r="B107" s="261"/>
      <c r="C107" s="116"/>
      <c r="D107" s="132">
        <v>342</v>
      </c>
      <c r="E107" s="255"/>
      <c r="F107" s="36"/>
      <c r="G107" s="36"/>
      <c r="H107" s="33" t="s">
        <v>571</v>
      </c>
      <c r="I107" s="107">
        <v>6223</v>
      </c>
      <c r="J107" s="107"/>
      <c r="K107" s="39">
        <v>2.12</v>
      </c>
      <c r="L107" s="118" t="s">
        <v>572</v>
      </c>
      <c r="M107" s="69" t="s">
        <v>117</v>
      </c>
      <c r="N107" s="42" t="s">
        <v>76</v>
      </c>
      <c r="O107" s="62" t="s">
        <v>118</v>
      </c>
      <c r="P107" s="46" t="s">
        <v>141</v>
      </c>
      <c r="Q107" s="62" t="s">
        <v>542</v>
      </c>
      <c r="R107" s="258"/>
      <c r="S107" s="45">
        <f t="shared" si="24"/>
        <v>14500000</v>
      </c>
      <c r="T107" s="45">
        <v>14500000</v>
      </c>
      <c r="U107" s="45">
        <v>0</v>
      </c>
      <c r="V107" s="109" t="s">
        <v>544</v>
      </c>
      <c r="W107" s="63">
        <v>41830</v>
      </c>
      <c r="X107" s="48"/>
      <c r="Y107" s="109" t="s">
        <v>234</v>
      </c>
      <c r="Z107" s="45"/>
      <c r="AA107" s="45"/>
      <c r="AB107" s="45">
        <f t="shared" si="29"/>
        <v>0</v>
      </c>
      <c r="AC107" s="48"/>
      <c r="AD107" s="63"/>
      <c r="AE107" s="51">
        <f t="shared" si="25"/>
        <v>0</v>
      </c>
      <c r="AF107" s="52">
        <f t="shared" si="26"/>
        <v>0</v>
      </c>
      <c r="AG107" s="52">
        <v>14500000</v>
      </c>
      <c r="AH107" s="52">
        <f>6680215.37+1326774.02+1251543.58+334100.52+4907366.51</f>
        <v>14500000</v>
      </c>
      <c r="AI107" s="52">
        <f t="shared" si="23"/>
        <v>0</v>
      </c>
      <c r="AJ107" s="124">
        <v>0</v>
      </c>
      <c r="AK107" s="45">
        <v>0</v>
      </c>
      <c r="AL107" s="52">
        <f t="shared" si="30"/>
        <v>0</v>
      </c>
      <c r="AM107" s="52">
        <f t="shared" si="31"/>
        <v>14500000</v>
      </c>
      <c r="AN107" s="51">
        <f t="shared" si="32"/>
        <v>14500000</v>
      </c>
      <c r="AO107" s="51">
        <f t="shared" si="33"/>
        <v>0</v>
      </c>
      <c r="AP107" s="125" t="s">
        <v>573</v>
      </c>
      <c r="AQ107" s="52">
        <v>5758806.3499999996</v>
      </c>
      <c r="AR107" s="51">
        <f>490187.45+462392.95+123436.15+2170962.95+1241860.07+404368.28+865598.5</f>
        <v>5758806.3500000006</v>
      </c>
      <c r="AS107" s="51">
        <f t="shared" si="28"/>
        <v>-9.3132257461547852E-10</v>
      </c>
      <c r="AT107" s="126">
        <f t="shared" si="27"/>
        <v>0</v>
      </c>
      <c r="AU107" s="48"/>
      <c r="AV107" s="46"/>
    </row>
    <row r="108" spans="1:48" ht="66" hidden="1" x14ac:dyDescent="0.2">
      <c r="A108" s="32">
        <v>639</v>
      </c>
      <c r="B108" s="33" t="s">
        <v>574</v>
      </c>
      <c r="C108" s="134"/>
      <c r="D108" s="39">
        <v>152</v>
      </c>
      <c r="E108" s="67" t="s">
        <v>575</v>
      </c>
      <c r="F108" s="37" t="s">
        <v>59</v>
      </c>
      <c r="G108" s="67"/>
      <c r="H108" s="33" t="s">
        <v>576</v>
      </c>
      <c r="I108" s="107">
        <v>6222</v>
      </c>
      <c r="J108" s="107"/>
      <c r="K108" s="39" t="s">
        <v>577</v>
      </c>
      <c r="L108" s="40" t="s">
        <v>578</v>
      </c>
      <c r="M108" s="69" t="s">
        <v>579</v>
      </c>
      <c r="N108" s="42" t="s">
        <v>76</v>
      </c>
      <c r="O108" s="41" t="s">
        <v>77</v>
      </c>
      <c r="P108" s="109" t="s">
        <v>206</v>
      </c>
      <c r="Q108" s="117" t="s">
        <v>580</v>
      </c>
      <c r="R108" s="33" t="s">
        <v>581</v>
      </c>
      <c r="S108" s="45">
        <f t="shared" si="24"/>
        <v>6948899.9900000002</v>
      </c>
      <c r="T108" s="45">
        <f>7000000-51100-0.01</f>
        <v>6948899.9900000002</v>
      </c>
      <c r="U108" s="45">
        <v>0</v>
      </c>
      <c r="V108" s="109" t="s">
        <v>582</v>
      </c>
      <c r="W108" s="63">
        <v>41796</v>
      </c>
      <c r="X108" s="48"/>
      <c r="Y108" s="44" t="s">
        <v>234</v>
      </c>
      <c r="Z108" s="45"/>
      <c r="AA108" s="45"/>
      <c r="AB108" s="45">
        <f t="shared" si="29"/>
        <v>0</v>
      </c>
      <c r="AC108" s="48"/>
      <c r="AD108" s="63"/>
      <c r="AE108" s="51">
        <f t="shared" si="25"/>
        <v>0</v>
      </c>
      <c r="AF108" s="52">
        <f t="shared" si="26"/>
        <v>0</v>
      </c>
      <c r="AG108" s="52">
        <f>6948900-0.01</f>
        <v>6948899.9900000002</v>
      </c>
      <c r="AH108" s="52">
        <f>3474450+2437421.27+845386.93+191641.79</f>
        <v>6948899.9899999993</v>
      </c>
      <c r="AI108" s="52">
        <f t="shared" si="23"/>
        <v>9.3132257461547852E-10</v>
      </c>
      <c r="AJ108" s="124">
        <v>0</v>
      </c>
      <c r="AK108" s="45">
        <v>0</v>
      </c>
      <c r="AL108" s="52">
        <f t="shared" si="30"/>
        <v>0</v>
      </c>
      <c r="AM108" s="52">
        <f t="shared" si="31"/>
        <v>6948899.9900000002</v>
      </c>
      <c r="AN108" s="51">
        <f t="shared" si="32"/>
        <v>6948899.9899999993</v>
      </c>
      <c r="AO108" s="51">
        <f t="shared" si="33"/>
        <v>0</v>
      </c>
      <c r="AP108" s="125"/>
      <c r="AQ108" s="52">
        <v>2995215.52</v>
      </c>
      <c r="AR108" s="51">
        <f>2635789.66+359425.86</f>
        <v>2995215.52</v>
      </c>
      <c r="AS108" s="51">
        <f t="shared" si="28"/>
        <v>0</v>
      </c>
      <c r="AT108" s="126">
        <f t="shared" si="27"/>
        <v>9.3132257461547852E-10</v>
      </c>
      <c r="AU108" s="48"/>
      <c r="AV108" s="46" t="s">
        <v>583</v>
      </c>
    </row>
    <row r="109" spans="1:48" ht="101.25" x14ac:dyDescent="0.2">
      <c r="A109" s="32">
        <v>637</v>
      </c>
      <c r="B109" s="240" t="s">
        <v>584</v>
      </c>
      <c r="C109" s="106"/>
      <c r="D109" s="107">
        <v>345</v>
      </c>
      <c r="E109" s="241" t="s">
        <v>585</v>
      </c>
      <c r="F109" s="67"/>
      <c r="G109" s="67"/>
      <c r="H109" s="33" t="s">
        <v>586</v>
      </c>
      <c r="I109" s="107">
        <v>6151</v>
      </c>
      <c r="J109" s="107"/>
      <c r="K109" s="39">
        <v>4</v>
      </c>
      <c r="L109" s="232" t="s">
        <v>587</v>
      </c>
      <c r="M109" s="233" t="s">
        <v>96</v>
      </c>
      <c r="N109" s="234" t="s">
        <v>76</v>
      </c>
      <c r="O109" s="233" t="s">
        <v>97</v>
      </c>
      <c r="P109" s="233" t="s">
        <v>518</v>
      </c>
      <c r="Q109" s="233" t="s">
        <v>588</v>
      </c>
      <c r="R109" s="235" t="s">
        <v>589</v>
      </c>
      <c r="S109" s="236">
        <f t="shared" si="24"/>
        <v>17000000</v>
      </c>
      <c r="T109" s="236">
        <v>16711864.41</v>
      </c>
      <c r="U109" s="236">
        <v>288135.59000000003</v>
      </c>
      <c r="V109" s="109" t="s">
        <v>590</v>
      </c>
      <c r="W109" s="63">
        <v>41843</v>
      </c>
      <c r="X109" s="48"/>
      <c r="Y109" s="109" t="s">
        <v>246</v>
      </c>
      <c r="Z109" s="45">
        <v>279461.03000000003</v>
      </c>
      <c r="AA109" s="45">
        <f>3201.74+15873.44+10350.01+10000+1704.85+6045.6+472+20417.28+6820.8+9048.01+4408+10440+12000+1932.63+10000+11036.24+5000+11451.52+5092.4+4275.11+5000+10943.4+13132.08+13920+14987.2+5423+12795.14+40000+3317.6</f>
        <v>279088.04999999993</v>
      </c>
      <c r="AB109" s="45">
        <f t="shared" si="29"/>
        <v>372.98000000009779</v>
      </c>
      <c r="AC109" s="48" t="s">
        <v>93</v>
      </c>
      <c r="AD109" s="63">
        <v>42013</v>
      </c>
      <c r="AE109" s="51">
        <f t="shared" si="25"/>
        <v>8674.5599999999977</v>
      </c>
      <c r="AF109" s="52">
        <f t="shared" si="26"/>
        <v>503124.79000000097</v>
      </c>
      <c r="AG109" s="52">
        <v>16208739.619999999</v>
      </c>
      <c r="AH109" s="52">
        <f>4862621.89+5624061.93+3864771.51+874199.41+983084.88</f>
        <v>16208739.620000001</v>
      </c>
      <c r="AI109" s="52">
        <f t="shared" si="23"/>
        <v>-1.862645149230957E-9</v>
      </c>
      <c r="AJ109" s="124">
        <v>0</v>
      </c>
      <c r="AK109" s="45">
        <v>0</v>
      </c>
      <c r="AL109" s="52">
        <f t="shared" si="30"/>
        <v>0</v>
      </c>
      <c r="AM109" s="52">
        <f t="shared" si="31"/>
        <v>16488200.649999999</v>
      </c>
      <c r="AN109" s="237">
        <f t="shared" si="32"/>
        <v>16487827.670000002</v>
      </c>
      <c r="AO109" s="51">
        <f t="shared" si="33"/>
        <v>372.97999999672174</v>
      </c>
      <c r="AP109" s="125" t="s">
        <v>134</v>
      </c>
      <c r="AQ109" s="52">
        <v>4191915.42</v>
      </c>
      <c r="AR109" s="51">
        <f>2077855.39+1427871.25+322980.08+363208.7</f>
        <v>4191915.42</v>
      </c>
      <c r="AS109" s="51">
        <f t="shared" si="28"/>
        <v>0</v>
      </c>
      <c r="AT109" s="238">
        <f t="shared" si="27"/>
        <v>512172.32999999821</v>
      </c>
      <c r="AU109" s="48"/>
      <c r="AV109" s="46"/>
    </row>
    <row r="110" spans="1:48" ht="24.75" hidden="1" x14ac:dyDescent="0.2">
      <c r="A110" s="32">
        <v>639</v>
      </c>
      <c r="B110" s="105" t="s">
        <v>591</v>
      </c>
      <c r="C110" s="106"/>
      <c r="D110" s="107">
        <v>313</v>
      </c>
      <c r="E110" s="67" t="s">
        <v>592</v>
      </c>
      <c r="F110" s="67"/>
      <c r="G110" s="67" t="s">
        <v>262</v>
      </c>
      <c r="H110" s="33" t="s">
        <v>209</v>
      </c>
      <c r="I110" s="107">
        <v>6222</v>
      </c>
      <c r="J110" s="107"/>
      <c r="K110" s="39">
        <v>2.2999999999999998</v>
      </c>
      <c r="L110" s="40" t="s">
        <v>210</v>
      </c>
      <c r="M110" s="69" t="s">
        <v>75</v>
      </c>
      <c r="N110" s="42" t="s">
        <v>76</v>
      </c>
      <c r="O110" s="41" t="s">
        <v>77</v>
      </c>
      <c r="P110" s="46" t="s">
        <v>104</v>
      </c>
      <c r="Q110" s="62" t="s">
        <v>593</v>
      </c>
      <c r="R110" s="33" t="s">
        <v>594</v>
      </c>
      <c r="S110" s="45">
        <f t="shared" si="24"/>
        <v>748783.95</v>
      </c>
      <c r="T110" s="45">
        <v>748783.95</v>
      </c>
      <c r="U110" s="45">
        <v>0</v>
      </c>
      <c r="V110" s="135" t="s">
        <v>595</v>
      </c>
      <c r="W110" s="63">
        <v>41842</v>
      </c>
      <c r="X110" s="48"/>
      <c r="Y110" s="44" t="s">
        <v>234</v>
      </c>
      <c r="Z110" s="45"/>
      <c r="AA110" s="45"/>
      <c r="AB110" s="45">
        <f t="shared" si="29"/>
        <v>0</v>
      </c>
      <c r="AC110" s="48"/>
      <c r="AD110" s="63"/>
      <c r="AE110" s="51">
        <f t="shared" si="25"/>
        <v>0</v>
      </c>
      <c r="AF110" s="52">
        <f t="shared" si="26"/>
        <v>16669.989999999991</v>
      </c>
      <c r="AG110" s="52">
        <v>732113.96</v>
      </c>
      <c r="AH110" s="52">
        <f>219634.19+456979.73+55500.04</f>
        <v>732113.96</v>
      </c>
      <c r="AI110" s="52">
        <f t="shared" ref="AI110:AI169" si="34">SUM(AG110-AH110)</f>
        <v>0</v>
      </c>
      <c r="AJ110" s="124">
        <v>0</v>
      </c>
      <c r="AK110" s="45">
        <v>0</v>
      </c>
      <c r="AL110" s="52">
        <f t="shared" si="30"/>
        <v>0</v>
      </c>
      <c r="AM110" s="52">
        <f t="shared" si="31"/>
        <v>732113.96</v>
      </c>
      <c r="AN110" s="51">
        <f t="shared" si="32"/>
        <v>732113.96</v>
      </c>
      <c r="AO110" s="51">
        <f t="shared" si="33"/>
        <v>0</v>
      </c>
      <c r="AP110" s="125" t="s">
        <v>333</v>
      </c>
      <c r="AQ110" s="52">
        <v>189339.82</v>
      </c>
      <c r="AR110" s="51">
        <f>168834.87+20504.95</f>
        <v>189339.82</v>
      </c>
      <c r="AS110" s="51">
        <f t="shared" si="28"/>
        <v>0</v>
      </c>
      <c r="AT110" s="126">
        <f t="shared" ref="AT110:AT169" si="35">SUM(S110-AN110)</f>
        <v>16669.989999999991</v>
      </c>
      <c r="AU110" s="48"/>
      <c r="AV110" s="46"/>
    </row>
    <row r="111" spans="1:48" ht="24.75" hidden="1" x14ac:dyDescent="0.2">
      <c r="A111" s="32">
        <v>639</v>
      </c>
      <c r="B111" s="105" t="s">
        <v>596</v>
      </c>
      <c r="C111" s="106"/>
      <c r="D111" s="107">
        <v>306</v>
      </c>
      <c r="E111" s="67" t="s">
        <v>597</v>
      </c>
      <c r="F111" s="67"/>
      <c r="G111" s="67" t="s">
        <v>442</v>
      </c>
      <c r="H111" s="33" t="s">
        <v>209</v>
      </c>
      <c r="I111" s="107">
        <v>6222</v>
      </c>
      <c r="J111" s="107"/>
      <c r="K111" s="39">
        <v>2.2999999999999998</v>
      </c>
      <c r="L111" s="40" t="s">
        <v>210</v>
      </c>
      <c r="M111" s="69" t="s">
        <v>75</v>
      </c>
      <c r="N111" s="42" t="s">
        <v>76</v>
      </c>
      <c r="O111" s="41" t="s">
        <v>77</v>
      </c>
      <c r="P111" s="46" t="s">
        <v>443</v>
      </c>
      <c r="Q111" s="62" t="s">
        <v>598</v>
      </c>
      <c r="R111" s="33" t="s">
        <v>599</v>
      </c>
      <c r="S111" s="45">
        <f t="shared" ref="S111:S170" si="36">T111+U111</f>
        <v>1467349.67</v>
      </c>
      <c r="T111" s="45">
        <f>1495312.23-27962.56</f>
        <v>1467349.67</v>
      </c>
      <c r="U111" s="45">
        <v>0</v>
      </c>
      <c r="V111" s="135" t="s">
        <v>595</v>
      </c>
      <c r="W111" s="63">
        <v>41842</v>
      </c>
      <c r="X111" s="48"/>
      <c r="Y111" s="44" t="s">
        <v>234</v>
      </c>
      <c r="Z111" s="45"/>
      <c r="AA111" s="45"/>
      <c r="AB111" s="45">
        <f t="shared" si="29"/>
        <v>0</v>
      </c>
      <c r="AC111" s="48"/>
      <c r="AD111" s="63"/>
      <c r="AE111" s="51">
        <f t="shared" ref="AE111:AE170" si="37">U111-Z111</f>
        <v>0</v>
      </c>
      <c r="AF111" s="52">
        <f t="shared" si="26"/>
        <v>0</v>
      </c>
      <c r="AG111" s="52">
        <v>1467349.67</v>
      </c>
      <c r="AH111" s="52">
        <f>440204.9+684510.51+342634.26</f>
        <v>1467349.6700000002</v>
      </c>
      <c r="AI111" s="52">
        <f t="shared" si="34"/>
        <v>-2.3283064365386963E-10</v>
      </c>
      <c r="AJ111" s="124">
        <v>0</v>
      </c>
      <c r="AK111" s="45">
        <v>0</v>
      </c>
      <c r="AL111" s="52">
        <f t="shared" si="30"/>
        <v>0</v>
      </c>
      <c r="AM111" s="52">
        <f t="shared" si="31"/>
        <v>1467349.67</v>
      </c>
      <c r="AN111" s="51">
        <f t="shared" si="32"/>
        <v>1467349.6700000002</v>
      </c>
      <c r="AO111" s="51">
        <f t="shared" si="33"/>
        <v>0</v>
      </c>
      <c r="AP111" s="125" t="s">
        <v>205</v>
      </c>
      <c r="AQ111" s="52">
        <v>379486.98</v>
      </c>
      <c r="AR111" s="51">
        <f>252897.98+126589</f>
        <v>379486.98</v>
      </c>
      <c r="AS111" s="51">
        <f t="shared" si="28"/>
        <v>0</v>
      </c>
      <c r="AT111" s="126">
        <f t="shared" si="35"/>
        <v>-2.3283064365386963E-10</v>
      </c>
      <c r="AU111" s="48"/>
      <c r="AV111" s="46"/>
    </row>
    <row r="112" spans="1:48" ht="24.75" hidden="1" x14ac:dyDescent="0.2">
      <c r="A112" s="32">
        <v>639</v>
      </c>
      <c r="B112" s="105" t="s">
        <v>600</v>
      </c>
      <c r="C112" s="106"/>
      <c r="D112" s="107">
        <v>296</v>
      </c>
      <c r="E112" s="67" t="s">
        <v>601</v>
      </c>
      <c r="F112" s="67"/>
      <c r="G112" s="67" t="s">
        <v>427</v>
      </c>
      <c r="H112" s="33" t="s">
        <v>209</v>
      </c>
      <c r="I112" s="107">
        <v>6222</v>
      </c>
      <c r="J112" s="107"/>
      <c r="K112" s="39">
        <v>2.2999999999999998</v>
      </c>
      <c r="L112" s="40" t="s">
        <v>210</v>
      </c>
      <c r="M112" s="69" t="s">
        <v>75</v>
      </c>
      <c r="N112" s="42" t="s">
        <v>76</v>
      </c>
      <c r="O112" s="41" t="s">
        <v>77</v>
      </c>
      <c r="P112" s="46" t="s">
        <v>428</v>
      </c>
      <c r="Q112" s="62" t="s">
        <v>507</v>
      </c>
      <c r="R112" s="33" t="s">
        <v>602</v>
      </c>
      <c r="S112" s="45">
        <f t="shared" si="36"/>
        <v>920084.54</v>
      </c>
      <c r="T112" s="45">
        <v>920084.54</v>
      </c>
      <c r="U112" s="45">
        <v>0</v>
      </c>
      <c r="V112" s="135" t="s">
        <v>595</v>
      </c>
      <c r="W112" s="63">
        <v>41842</v>
      </c>
      <c r="X112" s="48"/>
      <c r="Y112" s="44" t="s">
        <v>234</v>
      </c>
      <c r="Z112" s="45"/>
      <c r="AA112" s="45"/>
      <c r="AB112" s="45">
        <f t="shared" si="29"/>
        <v>0</v>
      </c>
      <c r="AC112" s="48"/>
      <c r="AD112" s="63"/>
      <c r="AE112" s="51">
        <f t="shared" si="37"/>
        <v>0</v>
      </c>
      <c r="AF112" s="52">
        <f t="shared" ref="AF112:AF171" si="38">T112-AG112-AJ112</f>
        <v>15594.640000000014</v>
      </c>
      <c r="AG112" s="52">
        <v>904489.9</v>
      </c>
      <c r="AH112" s="52">
        <f>271346.97+569828.63+63314.3</f>
        <v>904489.9</v>
      </c>
      <c r="AI112" s="52">
        <f t="shared" si="34"/>
        <v>0</v>
      </c>
      <c r="AJ112" s="124">
        <v>0</v>
      </c>
      <c r="AK112" s="45">
        <v>0</v>
      </c>
      <c r="AL112" s="52">
        <f t="shared" si="30"/>
        <v>0</v>
      </c>
      <c r="AM112" s="52">
        <f t="shared" si="31"/>
        <v>904489.9</v>
      </c>
      <c r="AN112" s="51">
        <f t="shared" si="32"/>
        <v>904489.9</v>
      </c>
      <c r="AO112" s="51">
        <f t="shared" si="33"/>
        <v>0</v>
      </c>
      <c r="AP112" s="125" t="s">
        <v>333</v>
      </c>
      <c r="AQ112" s="52">
        <v>233919.8</v>
      </c>
      <c r="AR112" s="51">
        <f>210527.82+23391.98</f>
        <v>233919.80000000002</v>
      </c>
      <c r="AS112" s="51">
        <f t="shared" si="28"/>
        <v>-2.9103830456733704E-11</v>
      </c>
      <c r="AT112" s="126">
        <f t="shared" si="35"/>
        <v>15594.640000000014</v>
      </c>
      <c r="AU112" s="48"/>
      <c r="AV112" s="46"/>
    </row>
    <row r="113" spans="1:49" ht="101.25" customHeight="1" x14ac:dyDescent="0.2">
      <c r="A113" s="32">
        <v>637</v>
      </c>
      <c r="B113" s="240" t="s">
        <v>603</v>
      </c>
      <c r="C113" s="106"/>
      <c r="D113" s="107">
        <v>343</v>
      </c>
      <c r="E113" s="242" t="s">
        <v>2116</v>
      </c>
      <c r="F113" s="82"/>
      <c r="G113" s="82"/>
      <c r="H113" s="33" t="s">
        <v>586</v>
      </c>
      <c r="I113" s="107">
        <v>6152</v>
      </c>
      <c r="J113" s="107"/>
      <c r="K113" s="39">
        <v>4</v>
      </c>
      <c r="L113" s="232" t="s">
        <v>587</v>
      </c>
      <c r="M113" s="233" t="s">
        <v>604</v>
      </c>
      <c r="N113" s="234" t="s">
        <v>76</v>
      </c>
      <c r="O113" s="233" t="s">
        <v>97</v>
      </c>
      <c r="P113" s="239" t="s">
        <v>334</v>
      </c>
      <c r="Q113" s="233" t="s">
        <v>605</v>
      </c>
      <c r="R113" s="235" t="s">
        <v>606</v>
      </c>
      <c r="S113" s="236">
        <f t="shared" si="36"/>
        <v>2274274</v>
      </c>
      <c r="T113" s="236">
        <v>2254835.7599999998</v>
      </c>
      <c r="U113" s="236">
        <v>19438.240000000002</v>
      </c>
      <c r="V113" s="109" t="s">
        <v>607</v>
      </c>
      <c r="W113" s="63">
        <v>41843</v>
      </c>
      <c r="X113" s="48"/>
      <c r="Y113" s="109" t="s">
        <v>123</v>
      </c>
      <c r="Z113" s="45">
        <v>19099.16</v>
      </c>
      <c r="AA113" s="45">
        <v>18300.16</v>
      </c>
      <c r="AB113" s="45">
        <f t="shared" si="29"/>
        <v>799</v>
      </c>
      <c r="AC113" s="46" t="s">
        <v>335</v>
      </c>
      <c r="AD113" s="63">
        <v>41968</v>
      </c>
      <c r="AE113" s="51">
        <f t="shared" si="37"/>
        <v>339.08000000000175</v>
      </c>
      <c r="AF113" s="52">
        <f t="shared" si="38"/>
        <v>39333.55999999959</v>
      </c>
      <c r="AG113" s="52">
        <v>2215502.2000000002</v>
      </c>
      <c r="AH113" s="52">
        <f>1060666.15+380291.78+774544.27</f>
        <v>2215502.2000000002</v>
      </c>
      <c r="AI113" s="52">
        <f t="shared" si="34"/>
        <v>0</v>
      </c>
      <c r="AJ113" s="124">
        <v>0</v>
      </c>
      <c r="AK113" s="45">
        <v>0</v>
      </c>
      <c r="AL113" s="52">
        <f t="shared" si="30"/>
        <v>0</v>
      </c>
      <c r="AM113" s="52">
        <f t="shared" si="31"/>
        <v>2234601.3600000003</v>
      </c>
      <c r="AN113" s="237">
        <f t="shared" si="32"/>
        <v>2233802.3600000003</v>
      </c>
      <c r="AO113" s="51">
        <f t="shared" si="33"/>
        <v>799</v>
      </c>
      <c r="AP113" s="125" t="s">
        <v>205</v>
      </c>
      <c r="AQ113" s="52"/>
      <c r="AR113" s="51"/>
      <c r="AS113" s="51">
        <f t="shared" si="28"/>
        <v>0</v>
      </c>
      <c r="AT113" s="238">
        <f t="shared" si="35"/>
        <v>40471.639999999665</v>
      </c>
      <c r="AU113" s="48"/>
      <c r="AV113" s="46"/>
    </row>
    <row r="114" spans="1:49" ht="33" hidden="1" x14ac:dyDescent="0.2">
      <c r="A114" s="32">
        <v>639</v>
      </c>
      <c r="B114" s="105" t="s">
        <v>609</v>
      </c>
      <c r="C114" s="106"/>
      <c r="D114" s="107">
        <v>378</v>
      </c>
      <c r="E114" s="67" t="s">
        <v>610</v>
      </c>
      <c r="F114" s="37" t="s">
        <v>59</v>
      </c>
      <c r="G114" s="67"/>
      <c r="H114" s="33" t="s">
        <v>576</v>
      </c>
      <c r="I114" s="107">
        <v>6222</v>
      </c>
      <c r="J114" s="107"/>
      <c r="K114" s="39" t="s">
        <v>577</v>
      </c>
      <c r="L114" s="40" t="s">
        <v>578</v>
      </c>
      <c r="M114" s="69" t="s">
        <v>75</v>
      </c>
      <c r="N114" s="42" t="s">
        <v>76</v>
      </c>
      <c r="O114" s="41" t="s">
        <v>77</v>
      </c>
      <c r="P114" s="48" t="s">
        <v>334</v>
      </c>
      <c r="Q114" s="62" t="s">
        <v>611</v>
      </c>
      <c r="R114" s="33" t="s">
        <v>612</v>
      </c>
      <c r="S114" s="45">
        <f t="shared" si="36"/>
        <v>5833088.9700000007</v>
      </c>
      <c r="T114" s="45">
        <f>6495750.74-662661.77</f>
        <v>5833088.9700000007</v>
      </c>
      <c r="U114" s="45">
        <v>0</v>
      </c>
      <c r="V114" s="109" t="s">
        <v>613</v>
      </c>
      <c r="W114" s="63">
        <v>41859</v>
      </c>
      <c r="X114" s="48"/>
      <c r="Y114" s="109" t="s">
        <v>234</v>
      </c>
      <c r="Z114" s="45"/>
      <c r="AA114" s="45"/>
      <c r="AB114" s="45">
        <f t="shared" si="29"/>
        <v>0</v>
      </c>
      <c r="AC114" s="48"/>
      <c r="AD114" s="63"/>
      <c r="AE114" s="51">
        <f t="shared" si="37"/>
        <v>0</v>
      </c>
      <c r="AF114" s="52">
        <f t="shared" si="38"/>
        <v>9.3132257461547852E-10</v>
      </c>
      <c r="AG114" s="52">
        <v>5833088.9699999997</v>
      </c>
      <c r="AH114" s="52">
        <f>5262368.97+570720</f>
        <v>5833088.9699999997</v>
      </c>
      <c r="AI114" s="52">
        <f t="shared" si="34"/>
        <v>0</v>
      </c>
      <c r="AJ114" s="124">
        <v>0</v>
      </c>
      <c r="AK114" s="45">
        <v>0</v>
      </c>
      <c r="AL114" s="52">
        <f t="shared" si="30"/>
        <v>0</v>
      </c>
      <c r="AM114" s="52">
        <f t="shared" si="31"/>
        <v>5833088.9699999997</v>
      </c>
      <c r="AN114" s="51">
        <f t="shared" si="32"/>
        <v>5833088.9699999997</v>
      </c>
      <c r="AO114" s="51">
        <f t="shared" si="33"/>
        <v>0</v>
      </c>
      <c r="AP114" s="125" t="s">
        <v>71</v>
      </c>
      <c r="AQ114" s="52">
        <v>0</v>
      </c>
      <c r="AR114" s="51">
        <v>0</v>
      </c>
      <c r="AS114" s="51">
        <f t="shared" si="28"/>
        <v>0</v>
      </c>
      <c r="AT114" s="126">
        <f t="shared" si="35"/>
        <v>9.3132257461547852E-10</v>
      </c>
      <c r="AU114" s="48"/>
      <c r="AV114" s="46"/>
    </row>
    <row r="115" spans="1:49" ht="41.25" hidden="1" x14ac:dyDescent="0.2">
      <c r="A115" s="32">
        <v>639</v>
      </c>
      <c r="B115" s="105" t="s">
        <v>614</v>
      </c>
      <c r="C115" s="106"/>
      <c r="D115" s="107">
        <v>379</v>
      </c>
      <c r="E115" s="67" t="s">
        <v>615</v>
      </c>
      <c r="F115" s="37" t="s">
        <v>59</v>
      </c>
      <c r="G115" s="67"/>
      <c r="H115" s="33" t="s">
        <v>576</v>
      </c>
      <c r="I115" s="107">
        <v>6222</v>
      </c>
      <c r="J115" s="107"/>
      <c r="K115" s="39" t="s">
        <v>577</v>
      </c>
      <c r="L115" s="40" t="s">
        <v>578</v>
      </c>
      <c r="M115" s="69" t="s">
        <v>75</v>
      </c>
      <c r="N115" s="42" t="s">
        <v>76</v>
      </c>
      <c r="O115" s="41" t="s">
        <v>77</v>
      </c>
      <c r="P115" s="46" t="s">
        <v>89</v>
      </c>
      <c r="Q115" s="62" t="s">
        <v>616</v>
      </c>
      <c r="R115" s="33" t="s">
        <v>617</v>
      </c>
      <c r="S115" s="45">
        <f>T115+U115</f>
        <v>202522.19999999998</v>
      </c>
      <c r="T115" s="45">
        <f>231848.46-29326.26</f>
        <v>202522.19999999998</v>
      </c>
      <c r="U115" s="45">
        <v>0</v>
      </c>
      <c r="V115" s="67" t="s">
        <v>618</v>
      </c>
      <c r="W115" s="47" t="s">
        <v>619</v>
      </c>
      <c r="X115" s="48"/>
      <c r="Y115" s="109" t="s">
        <v>234</v>
      </c>
      <c r="Z115" s="45"/>
      <c r="AA115" s="45"/>
      <c r="AB115" s="45">
        <f>Z115-AA115</f>
        <v>0</v>
      </c>
      <c r="AC115" s="48"/>
      <c r="AD115" s="63"/>
      <c r="AE115" s="51">
        <f>U115-Z115</f>
        <v>0</v>
      </c>
      <c r="AF115" s="52">
        <f t="shared" si="38"/>
        <v>-2.9103830456733704E-11</v>
      </c>
      <c r="AG115" s="136">
        <v>202522.2</v>
      </c>
      <c r="AH115" s="136">
        <v>202405.05</v>
      </c>
      <c r="AI115" s="137">
        <f t="shared" si="34"/>
        <v>117.15000000002328</v>
      </c>
      <c r="AJ115" s="124">
        <v>0</v>
      </c>
      <c r="AK115" s="45">
        <v>0</v>
      </c>
      <c r="AL115" s="52">
        <f>+AJ115-AK115</f>
        <v>0</v>
      </c>
      <c r="AM115" s="52">
        <f>SUM(AG115+Z115)+AJ115</f>
        <v>202522.2</v>
      </c>
      <c r="AN115" s="51">
        <f>SUM(AA115+AH115)+AK115</f>
        <v>202405.05</v>
      </c>
      <c r="AO115" s="51">
        <f>+AM115-AN115</f>
        <v>117.15000000002328</v>
      </c>
      <c r="AP115" s="125"/>
      <c r="AQ115" s="52"/>
      <c r="AR115" s="51"/>
      <c r="AS115" s="51">
        <f>SUM(AQ115-AR115)</f>
        <v>0</v>
      </c>
      <c r="AT115" s="126">
        <f>SUM(S115-AN115)</f>
        <v>117.14999999999418</v>
      </c>
      <c r="AU115" s="48"/>
      <c r="AV115" s="46"/>
    </row>
    <row r="116" spans="1:49" ht="41.25" hidden="1" x14ac:dyDescent="0.2">
      <c r="A116" s="32">
        <v>639</v>
      </c>
      <c r="B116" s="105" t="s">
        <v>620</v>
      </c>
      <c r="C116" s="106"/>
      <c r="D116" s="107">
        <v>377</v>
      </c>
      <c r="E116" s="67" t="s">
        <v>621</v>
      </c>
      <c r="F116" s="37" t="s">
        <v>59</v>
      </c>
      <c r="G116" s="67"/>
      <c r="H116" s="33" t="s">
        <v>576</v>
      </c>
      <c r="I116" s="107">
        <v>6222</v>
      </c>
      <c r="J116" s="107"/>
      <c r="K116" s="39" t="s">
        <v>577</v>
      </c>
      <c r="L116" s="40" t="s">
        <v>578</v>
      </c>
      <c r="M116" s="69" t="s">
        <v>75</v>
      </c>
      <c r="N116" s="42" t="s">
        <v>76</v>
      </c>
      <c r="O116" s="41" t="s">
        <v>77</v>
      </c>
      <c r="P116" s="48" t="s">
        <v>334</v>
      </c>
      <c r="Q116" s="62" t="s">
        <v>622</v>
      </c>
      <c r="R116" s="256" t="s">
        <v>623</v>
      </c>
      <c r="S116" s="45">
        <f t="shared" si="36"/>
        <v>1045663.7000000001</v>
      </c>
      <c r="T116" s="45">
        <f>1056705.06-11041.36</f>
        <v>1045663.7000000001</v>
      </c>
      <c r="U116" s="45">
        <v>0</v>
      </c>
      <c r="V116" s="109" t="s">
        <v>613</v>
      </c>
      <c r="W116" s="63">
        <v>41859</v>
      </c>
      <c r="X116" s="48"/>
      <c r="Y116" s="109" t="s">
        <v>234</v>
      </c>
      <c r="Z116" s="45"/>
      <c r="AA116" s="45"/>
      <c r="AB116" s="45">
        <f t="shared" si="29"/>
        <v>0</v>
      </c>
      <c r="AC116" s="48"/>
      <c r="AD116" s="63"/>
      <c r="AE116" s="51">
        <f t="shared" si="37"/>
        <v>0</v>
      </c>
      <c r="AF116" s="52">
        <f t="shared" si="38"/>
        <v>1.1641532182693481E-10</v>
      </c>
      <c r="AG116" s="136">
        <v>1045663.7</v>
      </c>
      <c r="AH116" s="136">
        <v>1045663.7</v>
      </c>
      <c r="AI116" s="137">
        <f>SUM(AG116-AH116)</f>
        <v>0</v>
      </c>
      <c r="AJ116" s="124">
        <v>0</v>
      </c>
      <c r="AK116" s="45">
        <v>0</v>
      </c>
      <c r="AL116" s="52">
        <f t="shared" si="30"/>
        <v>0</v>
      </c>
      <c r="AM116" s="52">
        <f t="shared" si="31"/>
        <v>1045663.7</v>
      </c>
      <c r="AN116" s="51">
        <f t="shared" si="32"/>
        <v>1045663.7</v>
      </c>
      <c r="AO116" s="51">
        <f t="shared" si="33"/>
        <v>0</v>
      </c>
      <c r="AP116" s="125"/>
      <c r="AQ116" s="52"/>
      <c r="AR116" s="51"/>
      <c r="AS116" s="51">
        <f t="shared" si="28"/>
        <v>0</v>
      </c>
      <c r="AT116" s="126">
        <f t="shared" si="35"/>
        <v>1.1641532182693481E-10</v>
      </c>
      <c r="AU116" s="48"/>
      <c r="AV116" s="46"/>
    </row>
    <row r="117" spans="1:49" ht="24.75" hidden="1" x14ac:dyDescent="0.2">
      <c r="A117" s="32">
        <v>639</v>
      </c>
      <c r="B117" s="105" t="s">
        <v>624</v>
      </c>
      <c r="C117" s="106"/>
      <c r="D117" s="107">
        <v>376</v>
      </c>
      <c r="E117" s="67" t="s">
        <v>625</v>
      </c>
      <c r="F117" s="67"/>
      <c r="G117" s="67"/>
      <c r="H117" s="33" t="s">
        <v>576</v>
      </c>
      <c r="I117" s="107">
        <v>6222</v>
      </c>
      <c r="J117" s="107"/>
      <c r="K117" s="39" t="s">
        <v>577</v>
      </c>
      <c r="L117" s="40" t="s">
        <v>578</v>
      </c>
      <c r="M117" s="69" t="s">
        <v>75</v>
      </c>
      <c r="N117" s="42" t="s">
        <v>76</v>
      </c>
      <c r="O117" s="41" t="s">
        <v>77</v>
      </c>
      <c r="P117" s="48" t="s">
        <v>334</v>
      </c>
      <c r="Q117" s="62" t="s">
        <v>626</v>
      </c>
      <c r="R117" s="258"/>
      <c r="S117" s="45">
        <f t="shared" si="36"/>
        <v>873630.63</v>
      </c>
      <c r="T117" s="45">
        <v>873630.63</v>
      </c>
      <c r="U117" s="45">
        <v>0</v>
      </c>
      <c r="V117" s="109" t="s">
        <v>613</v>
      </c>
      <c r="W117" s="63">
        <v>41859</v>
      </c>
      <c r="X117" s="48"/>
      <c r="Y117" s="109" t="s">
        <v>234</v>
      </c>
      <c r="Z117" s="45"/>
      <c r="AA117" s="45"/>
      <c r="AB117" s="45">
        <f t="shared" si="29"/>
        <v>0</v>
      </c>
      <c r="AC117" s="48"/>
      <c r="AD117" s="63"/>
      <c r="AE117" s="51">
        <f t="shared" si="37"/>
        <v>0</v>
      </c>
      <c r="AF117" s="52">
        <f t="shared" si="38"/>
        <v>523301.69</v>
      </c>
      <c r="AG117" s="136">
        <v>350328.94</v>
      </c>
      <c r="AH117" s="136">
        <v>350328.94</v>
      </c>
      <c r="AI117" s="137">
        <f>SUM(AG117-AH117)</f>
        <v>0</v>
      </c>
      <c r="AJ117" s="124">
        <v>0</v>
      </c>
      <c r="AK117" s="45">
        <v>0</v>
      </c>
      <c r="AL117" s="52">
        <f t="shared" si="30"/>
        <v>0</v>
      </c>
      <c r="AM117" s="52">
        <f t="shared" si="31"/>
        <v>350328.94</v>
      </c>
      <c r="AN117" s="51">
        <f t="shared" si="32"/>
        <v>350328.94</v>
      </c>
      <c r="AO117" s="51">
        <f t="shared" si="33"/>
        <v>0</v>
      </c>
      <c r="AP117" s="125"/>
      <c r="AQ117" s="52"/>
      <c r="AR117" s="51"/>
      <c r="AS117" s="51">
        <f t="shared" si="28"/>
        <v>0</v>
      </c>
      <c r="AT117" s="126">
        <f t="shared" si="35"/>
        <v>523301.69</v>
      </c>
      <c r="AU117" s="48"/>
      <c r="AV117" s="46"/>
    </row>
    <row r="118" spans="1:49" ht="24.75" hidden="1" x14ac:dyDescent="0.2">
      <c r="A118" s="32">
        <v>639</v>
      </c>
      <c r="B118" s="105" t="s">
        <v>627</v>
      </c>
      <c r="C118" s="106"/>
      <c r="D118" s="107">
        <v>276</v>
      </c>
      <c r="E118" s="67" t="s">
        <v>628</v>
      </c>
      <c r="F118" s="67"/>
      <c r="G118" s="67" t="s">
        <v>243</v>
      </c>
      <c r="H118" s="33" t="s">
        <v>576</v>
      </c>
      <c r="I118" s="107">
        <v>6222</v>
      </c>
      <c r="J118" s="107"/>
      <c r="K118" s="39">
        <v>2.2999999999999998</v>
      </c>
      <c r="L118" s="40" t="s">
        <v>210</v>
      </c>
      <c r="M118" s="69" t="s">
        <v>75</v>
      </c>
      <c r="N118" s="42" t="s">
        <v>76</v>
      </c>
      <c r="O118" s="41" t="s">
        <v>77</v>
      </c>
      <c r="P118" s="46" t="s">
        <v>65</v>
      </c>
      <c r="Q118" s="62" t="s">
        <v>629</v>
      </c>
      <c r="R118" s="33" t="s">
        <v>630</v>
      </c>
      <c r="S118" s="45">
        <f t="shared" si="36"/>
        <v>1897953.75</v>
      </c>
      <c r="T118" s="45">
        <v>1897953.75</v>
      </c>
      <c r="U118" s="45">
        <v>0</v>
      </c>
      <c r="V118" s="109" t="s">
        <v>631</v>
      </c>
      <c r="W118" s="63">
        <v>41844</v>
      </c>
      <c r="X118" s="48"/>
      <c r="Y118" s="109" t="s">
        <v>234</v>
      </c>
      <c r="Z118" s="45"/>
      <c r="AA118" s="45"/>
      <c r="AB118" s="45">
        <f t="shared" si="29"/>
        <v>0</v>
      </c>
      <c r="AC118" s="48"/>
      <c r="AD118" s="63"/>
      <c r="AE118" s="51">
        <f t="shared" si="37"/>
        <v>0</v>
      </c>
      <c r="AF118" s="52">
        <f t="shared" si="38"/>
        <v>342334.06000000006</v>
      </c>
      <c r="AG118" s="52">
        <v>1555619.69</v>
      </c>
      <c r="AH118" s="52">
        <f>466685.91+939729.42+149204.36</f>
        <v>1555619.69</v>
      </c>
      <c r="AI118" s="52">
        <f t="shared" si="34"/>
        <v>0</v>
      </c>
      <c r="AJ118" s="124">
        <v>0</v>
      </c>
      <c r="AK118" s="45">
        <v>0</v>
      </c>
      <c r="AL118" s="52">
        <f t="shared" si="30"/>
        <v>0</v>
      </c>
      <c r="AM118" s="52">
        <f t="shared" si="31"/>
        <v>1555619.69</v>
      </c>
      <c r="AN118" s="51">
        <f t="shared" si="32"/>
        <v>1555619.69</v>
      </c>
      <c r="AO118" s="51">
        <f t="shared" si="33"/>
        <v>0</v>
      </c>
      <c r="AP118" s="125" t="s">
        <v>205</v>
      </c>
      <c r="AQ118" s="52">
        <v>402315.44</v>
      </c>
      <c r="AR118" s="51">
        <f>347190.68+55124.76</f>
        <v>402315.44</v>
      </c>
      <c r="AS118" s="51">
        <f t="shared" si="28"/>
        <v>0</v>
      </c>
      <c r="AT118" s="51">
        <f t="shared" si="35"/>
        <v>342334.06000000006</v>
      </c>
      <c r="AU118" s="48"/>
      <c r="AV118" s="46"/>
    </row>
    <row r="119" spans="1:49" ht="24.75" hidden="1" x14ac:dyDescent="0.2">
      <c r="A119" s="32">
        <v>639</v>
      </c>
      <c r="B119" s="105" t="s">
        <v>632</v>
      </c>
      <c r="C119" s="106"/>
      <c r="D119" s="107">
        <v>61</v>
      </c>
      <c r="E119" s="67" t="s">
        <v>633</v>
      </c>
      <c r="F119" s="67"/>
      <c r="G119" s="67"/>
      <c r="H119" s="33" t="s">
        <v>576</v>
      </c>
      <c r="I119" s="107">
        <v>6222</v>
      </c>
      <c r="J119" s="107"/>
      <c r="K119" s="39">
        <v>2.2999999999999998</v>
      </c>
      <c r="L119" s="40" t="s">
        <v>210</v>
      </c>
      <c r="M119" s="69" t="s">
        <v>75</v>
      </c>
      <c r="N119" s="42" t="s">
        <v>76</v>
      </c>
      <c r="O119" s="41" t="s">
        <v>77</v>
      </c>
      <c r="P119" s="46" t="s">
        <v>65</v>
      </c>
      <c r="Q119" s="62" t="s">
        <v>481</v>
      </c>
      <c r="R119" s="33" t="s">
        <v>634</v>
      </c>
      <c r="S119" s="45">
        <f t="shared" si="36"/>
        <v>924814.71</v>
      </c>
      <c r="T119" s="45">
        <v>924814.71</v>
      </c>
      <c r="U119" s="45">
        <v>0</v>
      </c>
      <c r="V119" s="109" t="s">
        <v>631</v>
      </c>
      <c r="W119" s="63">
        <v>41844</v>
      </c>
      <c r="X119" s="48"/>
      <c r="Y119" s="109" t="s">
        <v>234</v>
      </c>
      <c r="Z119" s="45"/>
      <c r="AA119" s="45"/>
      <c r="AB119" s="45">
        <f t="shared" si="29"/>
        <v>0</v>
      </c>
      <c r="AC119" s="48"/>
      <c r="AD119" s="63"/>
      <c r="AE119" s="51">
        <f t="shared" si="37"/>
        <v>0</v>
      </c>
      <c r="AF119" s="52">
        <f t="shared" si="38"/>
        <v>1294.7099999999627</v>
      </c>
      <c r="AG119" s="52">
        <v>923520</v>
      </c>
      <c r="AH119" s="52">
        <f>277056+537228.39+109235.61</f>
        <v>923520</v>
      </c>
      <c r="AI119" s="52">
        <f t="shared" si="34"/>
        <v>0</v>
      </c>
      <c r="AJ119" s="124">
        <v>0</v>
      </c>
      <c r="AK119" s="45">
        <v>0</v>
      </c>
      <c r="AL119" s="52">
        <f t="shared" si="30"/>
        <v>0</v>
      </c>
      <c r="AM119" s="52">
        <f t="shared" si="31"/>
        <v>923520</v>
      </c>
      <c r="AN119" s="51">
        <f t="shared" si="32"/>
        <v>923520</v>
      </c>
      <c r="AO119" s="51">
        <f t="shared" si="33"/>
        <v>0</v>
      </c>
      <c r="AP119" s="125"/>
      <c r="AQ119" s="52">
        <v>238841.37</v>
      </c>
      <c r="AR119" s="51">
        <f>198483.39+40357.99</f>
        <v>238841.38</v>
      </c>
      <c r="AS119" s="51">
        <f t="shared" si="28"/>
        <v>-1.0000000009313226E-2</v>
      </c>
      <c r="AT119" s="126">
        <f t="shared" si="35"/>
        <v>1294.7099999999627</v>
      </c>
      <c r="AU119" s="48"/>
      <c r="AV119" s="46"/>
    </row>
    <row r="120" spans="1:49" ht="24.75" hidden="1" x14ac:dyDescent="0.2">
      <c r="A120" s="32">
        <v>639</v>
      </c>
      <c r="B120" s="105" t="s">
        <v>635</v>
      </c>
      <c r="C120" s="106"/>
      <c r="D120" s="107">
        <v>274</v>
      </c>
      <c r="E120" s="67" t="s">
        <v>636</v>
      </c>
      <c r="F120" s="67"/>
      <c r="G120" s="67" t="s">
        <v>386</v>
      </c>
      <c r="H120" s="33" t="s">
        <v>576</v>
      </c>
      <c r="I120" s="107">
        <v>6222</v>
      </c>
      <c r="J120" s="107"/>
      <c r="K120" s="39">
        <v>2.2999999999999998</v>
      </c>
      <c r="L120" s="40" t="s">
        <v>210</v>
      </c>
      <c r="M120" s="69" t="s">
        <v>75</v>
      </c>
      <c r="N120" s="42" t="s">
        <v>76</v>
      </c>
      <c r="O120" s="41" t="s">
        <v>77</v>
      </c>
      <c r="P120" s="46" t="s">
        <v>331</v>
      </c>
      <c r="Q120" s="62" t="s">
        <v>637</v>
      </c>
      <c r="R120" s="33" t="s">
        <v>638</v>
      </c>
      <c r="S120" s="45">
        <f t="shared" si="36"/>
        <v>2308234.8199999998</v>
      </c>
      <c r="T120" s="45">
        <v>2308234.8199999998</v>
      </c>
      <c r="U120" s="45">
        <v>0</v>
      </c>
      <c r="V120" s="109" t="s">
        <v>631</v>
      </c>
      <c r="W120" s="63">
        <v>41844</v>
      </c>
      <c r="X120" s="48"/>
      <c r="Y120" s="109" t="s">
        <v>234</v>
      </c>
      <c r="Z120" s="45"/>
      <c r="AA120" s="45"/>
      <c r="AB120" s="45">
        <f t="shared" si="29"/>
        <v>0</v>
      </c>
      <c r="AC120" s="48"/>
      <c r="AD120" s="63"/>
      <c r="AE120" s="51">
        <f t="shared" si="37"/>
        <v>0</v>
      </c>
      <c r="AF120" s="52">
        <f t="shared" si="38"/>
        <v>63510.329999999609</v>
      </c>
      <c r="AG120" s="52">
        <v>2244724.4900000002</v>
      </c>
      <c r="AH120" s="52">
        <f>541174.5+1346452.18+357097.81</f>
        <v>2244724.4899999998</v>
      </c>
      <c r="AI120" s="52">
        <f t="shared" si="34"/>
        <v>4.6566128730773926E-10</v>
      </c>
      <c r="AJ120" s="124">
        <v>0</v>
      </c>
      <c r="AK120" s="45">
        <v>0</v>
      </c>
      <c r="AL120" s="52">
        <f t="shared" si="30"/>
        <v>0</v>
      </c>
      <c r="AM120" s="52">
        <f t="shared" si="31"/>
        <v>2244724.4900000002</v>
      </c>
      <c r="AN120" s="51">
        <f t="shared" si="32"/>
        <v>2244724.4899999998</v>
      </c>
      <c r="AO120" s="51">
        <f t="shared" si="33"/>
        <v>0</v>
      </c>
      <c r="AP120" s="125" t="s">
        <v>333</v>
      </c>
      <c r="AQ120" s="52">
        <v>0</v>
      </c>
      <c r="AR120" s="51">
        <v>0</v>
      </c>
      <c r="AS120" s="51">
        <f t="shared" si="28"/>
        <v>0</v>
      </c>
      <c r="AT120" s="126">
        <f t="shared" si="35"/>
        <v>63510.330000000075</v>
      </c>
      <c r="AU120" s="48"/>
      <c r="AV120" s="46"/>
    </row>
    <row r="121" spans="1:49" ht="24.75" hidden="1" x14ac:dyDescent="0.2">
      <c r="A121" s="32">
        <v>636</v>
      </c>
      <c r="B121" s="33" t="s">
        <v>639</v>
      </c>
      <c r="C121" s="134"/>
      <c r="D121" s="107"/>
      <c r="E121" s="67" t="s">
        <v>640</v>
      </c>
      <c r="F121" s="37" t="s">
        <v>59</v>
      </c>
      <c r="G121" s="67"/>
      <c r="H121" s="105"/>
      <c r="I121" s="107">
        <v>6222</v>
      </c>
      <c r="J121" s="107"/>
      <c r="K121" s="39"/>
      <c r="L121" s="118" t="s">
        <v>297</v>
      </c>
      <c r="M121" s="69" t="s">
        <v>641</v>
      </c>
      <c r="N121" s="42" t="s">
        <v>76</v>
      </c>
      <c r="O121" s="62"/>
      <c r="P121" s="46" t="s">
        <v>642</v>
      </c>
      <c r="Q121" s="62" t="s">
        <v>643</v>
      </c>
      <c r="R121" s="33" t="s">
        <v>644</v>
      </c>
      <c r="S121" s="45">
        <f t="shared" si="36"/>
        <v>41236339.68</v>
      </c>
      <c r="T121" s="45">
        <f>42204255.32-1494337</f>
        <v>40709918.32</v>
      </c>
      <c r="U121" s="45">
        <f>545744.68-19323.32</f>
        <v>526421.3600000001</v>
      </c>
      <c r="V121" s="109" t="s">
        <v>645</v>
      </c>
      <c r="W121" s="63"/>
      <c r="X121" s="48"/>
      <c r="Y121" s="67" t="s">
        <v>646</v>
      </c>
      <c r="Z121" s="45">
        <v>526421.36</v>
      </c>
      <c r="AA121" s="45">
        <v>0</v>
      </c>
      <c r="AB121" s="45">
        <f t="shared" si="29"/>
        <v>526421.36</v>
      </c>
      <c r="AC121" s="48" t="s">
        <v>93</v>
      </c>
      <c r="AD121" s="63">
        <v>42209</v>
      </c>
      <c r="AE121" s="51">
        <f t="shared" si="37"/>
        <v>0</v>
      </c>
      <c r="AF121" s="52">
        <f t="shared" si="38"/>
        <v>0</v>
      </c>
      <c r="AG121" s="52">
        <f>40709918.33-0.01</f>
        <v>40709918.32</v>
      </c>
      <c r="AH121" s="52">
        <f>1038817.92+249764.17+419161.39+890627.51+7060073.9+171714.81+12395706.84+7446862.24+5432326.43+5604863.11</f>
        <v>40709918.32</v>
      </c>
      <c r="AI121" s="52">
        <f t="shared" si="34"/>
        <v>0</v>
      </c>
      <c r="AJ121" s="124">
        <v>0</v>
      </c>
      <c r="AK121" s="45">
        <v>0</v>
      </c>
      <c r="AL121" s="52">
        <f t="shared" si="30"/>
        <v>0</v>
      </c>
      <c r="AM121" s="52">
        <f t="shared" si="31"/>
        <v>41236339.68</v>
      </c>
      <c r="AN121" s="51">
        <f t="shared" si="32"/>
        <v>40709918.32</v>
      </c>
      <c r="AO121" s="51">
        <f t="shared" si="33"/>
        <v>526421.3599999994</v>
      </c>
      <c r="AP121" s="125" t="s">
        <v>647</v>
      </c>
      <c r="AQ121" s="52"/>
      <c r="AR121" s="51"/>
      <c r="AS121" s="51">
        <f t="shared" si="28"/>
        <v>0</v>
      </c>
      <c r="AT121" s="51">
        <f t="shared" si="35"/>
        <v>526421.3599999994</v>
      </c>
      <c r="AU121" s="48"/>
      <c r="AV121" s="46"/>
    </row>
    <row r="122" spans="1:49" ht="33.75" hidden="1" x14ac:dyDescent="0.2">
      <c r="A122" s="32">
        <v>636</v>
      </c>
      <c r="B122" s="105" t="s">
        <v>648</v>
      </c>
      <c r="C122" s="106"/>
      <c r="D122" s="107">
        <v>380</v>
      </c>
      <c r="E122" s="253" t="s">
        <v>649</v>
      </c>
      <c r="F122" s="139" t="s">
        <v>59</v>
      </c>
      <c r="G122" s="82"/>
      <c r="H122" s="33" t="s">
        <v>27</v>
      </c>
      <c r="I122" s="107">
        <v>6223</v>
      </c>
      <c r="J122" s="107"/>
      <c r="K122" s="140">
        <v>1.2</v>
      </c>
      <c r="L122" s="118" t="s">
        <v>650</v>
      </c>
      <c r="M122" s="69" t="s">
        <v>117</v>
      </c>
      <c r="N122" s="42" t="s">
        <v>76</v>
      </c>
      <c r="O122" s="62" t="s">
        <v>118</v>
      </c>
      <c r="P122" s="46" t="s">
        <v>642</v>
      </c>
      <c r="Q122" s="62" t="s">
        <v>651</v>
      </c>
      <c r="R122" s="256" t="s">
        <v>652</v>
      </c>
      <c r="S122" s="45">
        <f t="shared" si="36"/>
        <v>12905930.17</v>
      </c>
      <c r="T122" s="45">
        <f>13500000-594069.83</f>
        <v>12905930.17</v>
      </c>
      <c r="U122" s="45">
        <v>0</v>
      </c>
      <c r="V122" s="67" t="s">
        <v>653</v>
      </c>
      <c r="W122" s="47" t="s">
        <v>654</v>
      </c>
      <c r="X122" s="48"/>
      <c r="Y122" s="109" t="s">
        <v>234</v>
      </c>
      <c r="Z122" s="45"/>
      <c r="AA122" s="45"/>
      <c r="AB122" s="45">
        <f t="shared" si="29"/>
        <v>0</v>
      </c>
      <c r="AC122" s="48"/>
      <c r="AD122" s="63"/>
      <c r="AE122" s="51">
        <f t="shared" si="37"/>
        <v>0</v>
      </c>
      <c r="AF122" s="52">
        <f t="shared" si="38"/>
        <v>0</v>
      </c>
      <c r="AG122" s="52">
        <v>12905930.17</v>
      </c>
      <c r="AH122" s="52">
        <f>3871779.05+3936308.7+3807249.41+1290593.01</f>
        <v>12905930.17</v>
      </c>
      <c r="AI122" s="52">
        <f t="shared" si="34"/>
        <v>0</v>
      </c>
      <c r="AJ122" s="124">
        <v>0</v>
      </c>
      <c r="AK122" s="45">
        <v>0</v>
      </c>
      <c r="AL122" s="52">
        <f t="shared" si="30"/>
        <v>0</v>
      </c>
      <c r="AM122" s="52">
        <f t="shared" si="31"/>
        <v>12905930.17</v>
      </c>
      <c r="AN122" s="51">
        <f t="shared" si="32"/>
        <v>12905930.17</v>
      </c>
      <c r="AO122" s="51">
        <f t="shared" si="33"/>
        <v>0</v>
      </c>
      <c r="AP122" s="125" t="s">
        <v>205</v>
      </c>
      <c r="AQ122" s="52">
        <v>3337740.56</v>
      </c>
      <c r="AR122" s="51">
        <f>2169531.37+1168209.19</f>
        <v>3337740.56</v>
      </c>
      <c r="AS122" s="51">
        <f t="shared" si="28"/>
        <v>0</v>
      </c>
      <c r="AT122" s="126">
        <f t="shared" si="35"/>
        <v>0</v>
      </c>
      <c r="AU122" s="48"/>
      <c r="AV122" s="46"/>
    </row>
    <row r="123" spans="1:49" ht="26.25" hidden="1" customHeight="1" x14ac:dyDescent="0.2">
      <c r="A123" s="32">
        <v>636</v>
      </c>
      <c r="B123" s="105" t="s">
        <v>648</v>
      </c>
      <c r="C123" s="106"/>
      <c r="D123" s="107">
        <v>362</v>
      </c>
      <c r="E123" s="255"/>
      <c r="F123" s="37" t="s">
        <v>59</v>
      </c>
      <c r="G123" s="36"/>
      <c r="H123" s="33" t="s">
        <v>655</v>
      </c>
      <c r="I123" s="107">
        <v>6223</v>
      </c>
      <c r="J123" s="107"/>
      <c r="K123" s="39">
        <v>2.12</v>
      </c>
      <c r="L123" s="118" t="s">
        <v>572</v>
      </c>
      <c r="M123" s="69" t="s">
        <v>117</v>
      </c>
      <c r="N123" s="42" t="s">
        <v>76</v>
      </c>
      <c r="O123" s="62" t="s">
        <v>118</v>
      </c>
      <c r="P123" s="46" t="s">
        <v>642</v>
      </c>
      <c r="Q123" s="62" t="s">
        <v>651</v>
      </c>
      <c r="R123" s="258"/>
      <c r="S123" s="45">
        <f t="shared" si="36"/>
        <v>1041605.11</v>
      </c>
      <c r="T123" s="45">
        <f>1089551-47945.89</f>
        <v>1041605.11</v>
      </c>
      <c r="U123" s="45">
        <v>0</v>
      </c>
      <c r="V123" s="67" t="s">
        <v>656</v>
      </c>
      <c r="W123" s="47" t="s">
        <v>657</v>
      </c>
      <c r="X123" s="48"/>
      <c r="Y123" s="109" t="s">
        <v>234</v>
      </c>
      <c r="Z123" s="45">
        <v>0</v>
      </c>
      <c r="AA123" s="45"/>
      <c r="AB123" s="45">
        <f t="shared" si="29"/>
        <v>0</v>
      </c>
      <c r="AC123" s="48"/>
      <c r="AD123" s="63"/>
      <c r="AE123" s="51">
        <f t="shared" si="37"/>
        <v>0</v>
      </c>
      <c r="AF123" s="52">
        <f t="shared" si="38"/>
        <v>0</v>
      </c>
      <c r="AG123" s="52">
        <v>1041605.11</v>
      </c>
      <c r="AH123" s="52">
        <f>312481.53+317689.56+307273.51+104160.51</f>
        <v>1041605.1100000001</v>
      </c>
      <c r="AI123" s="52">
        <f t="shared" si="34"/>
        <v>-1.1641532182693481E-10</v>
      </c>
      <c r="AJ123" s="124">
        <v>0</v>
      </c>
      <c r="AK123" s="45">
        <v>0</v>
      </c>
      <c r="AL123" s="52">
        <f t="shared" si="30"/>
        <v>0</v>
      </c>
      <c r="AM123" s="52">
        <f t="shared" si="31"/>
        <v>1041605.11</v>
      </c>
      <c r="AN123" s="51">
        <f t="shared" si="32"/>
        <v>1041605.1100000001</v>
      </c>
      <c r="AO123" s="51">
        <f t="shared" si="33"/>
        <v>0</v>
      </c>
      <c r="AP123" s="125" t="s">
        <v>205</v>
      </c>
      <c r="AQ123" s="52">
        <v>269380.63</v>
      </c>
      <c r="AR123" s="51">
        <f>175097.41+94283.22</f>
        <v>269380.63</v>
      </c>
      <c r="AS123" s="51">
        <f t="shared" si="28"/>
        <v>0</v>
      </c>
      <c r="AT123" s="126">
        <f t="shared" si="35"/>
        <v>-1.1641532182693481E-10</v>
      </c>
      <c r="AU123" s="48"/>
      <c r="AV123" s="46"/>
    </row>
    <row r="124" spans="1:49" ht="24.75" hidden="1" x14ac:dyDescent="0.2">
      <c r="A124" s="32">
        <v>636</v>
      </c>
      <c r="B124" s="105" t="s">
        <v>658</v>
      </c>
      <c r="C124" s="106"/>
      <c r="D124" s="107">
        <v>359</v>
      </c>
      <c r="E124" s="67" t="s">
        <v>659</v>
      </c>
      <c r="F124" s="67"/>
      <c r="G124" s="67"/>
      <c r="H124" s="33" t="s">
        <v>60</v>
      </c>
      <c r="I124" s="107">
        <v>6142</v>
      </c>
      <c r="J124" s="107"/>
      <c r="K124" s="39">
        <v>2</v>
      </c>
      <c r="L124" s="40" t="s">
        <v>61</v>
      </c>
      <c r="M124" s="69" t="s">
        <v>108</v>
      </c>
      <c r="N124" s="42" t="s">
        <v>76</v>
      </c>
      <c r="O124" s="62" t="s">
        <v>88</v>
      </c>
      <c r="P124" s="46" t="s">
        <v>229</v>
      </c>
      <c r="Q124" s="62" t="s">
        <v>660</v>
      </c>
      <c r="R124" s="33" t="s">
        <v>661</v>
      </c>
      <c r="S124" s="45">
        <f t="shared" si="36"/>
        <v>350000</v>
      </c>
      <c r="T124" s="45">
        <v>341176.47</v>
      </c>
      <c r="U124" s="45">
        <v>8823.5300000000007</v>
      </c>
      <c r="V124" s="109" t="s">
        <v>662</v>
      </c>
      <c r="W124" s="63">
        <v>41859</v>
      </c>
      <c r="X124" s="48"/>
      <c r="Y124" s="109" t="s">
        <v>282</v>
      </c>
      <c r="Z124" s="45">
        <v>8473.42</v>
      </c>
      <c r="AA124" s="45">
        <f>8064.32+390-390</f>
        <v>8064.32</v>
      </c>
      <c r="AB124" s="45">
        <f t="shared" si="29"/>
        <v>409.10000000000036</v>
      </c>
      <c r="AC124" s="48" t="s">
        <v>102</v>
      </c>
      <c r="AD124" s="63">
        <v>42054</v>
      </c>
      <c r="AE124" s="51">
        <f t="shared" si="37"/>
        <v>350.11000000000058</v>
      </c>
      <c r="AF124" s="52">
        <f t="shared" si="38"/>
        <v>13537.719999999972</v>
      </c>
      <c r="AG124" s="52">
        <v>327638.75</v>
      </c>
      <c r="AH124" s="52">
        <f>98291.63+114840.85+114506.27</f>
        <v>327638.75</v>
      </c>
      <c r="AI124" s="52">
        <f t="shared" si="34"/>
        <v>0</v>
      </c>
      <c r="AJ124" s="124">
        <v>0</v>
      </c>
      <c r="AK124" s="45">
        <v>0</v>
      </c>
      <c r="AL124" s="52">
        <f t="shared" si="30"/>
        <v>0</v>
      </c>
      <c r="AM124" s="52">
        <f t="shared" si="31"/>
        <v>336112.17</v>
      </c>
      <c r="AN124" s="51">
        <f t="shared" si="32"/>
        <v>335703.07</v>
      </c>
      <c r="AO124" s="51">
        <f t="shared" si="33"/>
        <v>409.09999999997672</v>
      </c>
      <c r="AP124" s="125" t="s">
        <v>663</v>
      </c>
      <c r="AQ124" s="52">
        <v>84734.16</v>
      </c>
      <c r="AR124" s="51">
        <f>42428.88+42305.28</f>
        <v>84734.16</v>
      </c>
      <c r="AS124" s="51">
        <f t="shared" si="28"/>
        <v>0</v>
      </c>
      <c r="AT124" s="126">
        <f t="shared" si="35"/>
        <v>14296.929999999993</v>
      </c>
      <c r="AU124" s="48"/>
      <c r="AV124" s="46"/>
    </row>
    <row r="125" spans="1:49" ht="41.25" hidden="1" x14ac:dyDescent="0.2">
      <c r="A125" s="32">
        <v>639</v>
      </c>
      <c r="B125" s="105" t="s">
        <v>664</v>
      </c>
      <c r="C125" s="106"/>
      <c r="D125" s="107">
        <v>347</v>
      </c>
      <c r="E125" s="67" t="s">
        <v>665</v>
      </c>
      <c r="F125" s="67"/>
      <c r="G125" s="67"/>
      <c r="H125" s="33" t="s">
        <v>209</v>
      </c>
      <c r="I125" s="107">
        <v>6222</v>
      </c>
      <c r="J125" s="107"/>
      <c r="K125" s="39">
        <v>2.2999999999999998</v>
      </c>
      <c r="L125" s="40" t="s">
        <v>210</v>
      </c>
      <c r="M125" s="69" t="s">
        <v>75</v>
      </c>
      <c r="N125" s="42" t="s">
        <v>76</v>
      </c>
      <c r="O125" s="41" t="s">
        <v>77</v>
      </c>
      <c r="P125" s="46" t="s">
        <v>190</v>
      </c>
      <c r="Q125" s="62" t="s">
        <v>666</v>
      </c>
      <c r="R125" s="33" t="s">
        <v>667</v>
      </c>
      <c r="S125" s="45">
        <f t="shared" si="36"/>
        <v>950000</v>
      </c>
      <c r="T125" s="45">
        <v>950000</v>
      </c>
      <c r="U125" s="45">
        <v>0</v>
      </c>
      <c r="V125" s="109" t="s">
        <v>668</v>
      </c>
      <c r="W125" s="63">
        <v>41857</v>
      </c>
      <c r="X125" s="48"/>
      <c r="Y125" s="109" t="s">
        <v>234</v>
      </c>
      <c r="Z125" s="45"/>
      <c r="AA125" s="45"/>
      <c r="AB125" s="45">
        <f t="shared" si="29"/>
        <v>0</v>
      </c>
      <c r="AC125" s="48"/>
      <c r="AD125" s="63"/>
      <c r="AE125" s="51">
        <f t="shared" si="37"/>
        <v>0</v>
      </c>
      <c r="AF125" s="52">
        <f t="shared" si="38"/>
        <v>6929.2099999999627</v>
      </c>
      <c r="AG125" s="52">
        <v>943070.79</v>
      </c>
      <c r="AH125" s="52">
        <f>282921.24+352583.11+307566.44</f>
        <v>943070.79</v>
      </c>
      <c r="AI125" s="52">
        <f t="shared" si="34"/>
        <v>0</v>
      </c>
      <c r="AJ125" s="124">
        <v>0</v>
      </c>
      <c r="AK125" s="45">
        <v>0</v>
      </c>
      <c r="AL125" s="52">
        <f t="shared" si="30"/>
        <v>0</v>
      </c>
      <c r="AM125" s="52">
        <f t="shared" si="31"/>
        <v>943070.79</v>
      </c>
      <c r="AN125" s="51">
        <f t="shared" si="32"/>
        <v>943070.79</v>
      </c>
      <c r="AO125" s="51">
        <f t="shared" si="33"/>
        <v>0</v>
      </c>
      <c r="AP125" s="125" t="s">
        <v>71</v>
      </c>
      <c r="AQ125" s="52">
        <v>243897.62</v>
      </c>
      <c r="AR125" s="51">
        <f>130264.7+113632.92</f>
        <v>243897.62</v>
      </c>
      <c r="AS125" s="51">
        <f t="shared" si="28"/>
        <v>0</v>
      </c>
      <c r="AT125" s="126">
        <f t="shared" si="35"/>
        <v>6929.2099999999627</v>
      </c>
      <c r="AU125" s="48"/>
      <c r="AV125" s="46"/>
      <c r="AW125" s="6" t="s">
        <v>27</v>
      </c>
    </row>
    <row r="126" spans="1:49" ht="39" hidden="1" customHeight="1" x14ac:dyDescent="0.2">
      <c r="A126" s="32">
        <v>639</v>
      </c>
      <c r="B126" s="105" t="s">
        <v>669</v>
      </c>
      <c r="C126" s="106"/>
      <c r="D126" s="107">
        <v>346</v>
      </c>
      <c r="E126" s="67" t="s">
        <v>670</v>
      </c>
      <c r="F126" s="67"/>
      <c r="G126" s="67"/>
      <c r="H126" s="33" t="s">
        <v>209</v>
      </c>
      <c r="I126" s="107">
        <v>6222</v>
      </c>
      <c r="J126" s="107"/>
      <c r="K126" s="39">
        <v>2.2999999999999998</v>
      </c>
      <c r="L126" s="40" t="s">
        <v>210</v>
      </c>
      <c r="M126" s="69" t="s">
        <v>75</v>
      </c>
      <c r="N126" s="42" t="s">
        <v>76</v>
      </c>
      <c r="O126" s="41" t="s">
        <v>77</v>
      </c>
      <c r="P126" s="46" t="s">
        <v>331</v>
      </c>
      <c r="Q126" s="62" t="s">
        <v>671</v>
      </c>
      <c r="R126" s="46" t="s">
        <v>672</v>
      </c>
      <c r="S126" s="45">
        <f t="shared" si="36"/>
        <v>250000</v>
      </c>
      <c r="T126" s="45">
        <v>250000</v>
      </c>
      <c r="U126" s="45">
        <v>0</v>
      </c>
      <c r="V126" s="109" t="s">
        <v>668</v>
      </c>
      <c r="W126" s="63">
        <v>41857</v>
      </c>
      <c r="X126" s="48"/>
      <c r="Y126" s="109" t="s">
        <v>234</v>
      </c>
      <c r="Z126" s="45"/>
      <c r="AA126" s="45"/>
      <c r="AB126" s="45">
        <f t="shared" si="29"/>
        <v>0</v>
      </c>
      <c r="AC126" s="48"/>
      <c r="AD126" s="63"/>
      <c r="AE126" s="51">
        <f t="shared" si="37"/>
        <v>0</v>
      </c>
      <c r="AF126" s="52">
        <f t="shared" si="38"/>
        <v>766.41000000000349</v>
      </c>
      <c r="AG126" s="52">
        <v>249233.59</v>
      </c>
      <c r="AH126" s="52">
        <v>249233.59</v>
      </c>
      <c r="AI126" s="52">
        <f t="shared" si="34"/>
        <v>0</v>
      </c>
      <c r="AJ126" s="124">
        <v>0</v>
      </c>
      <c r="AK126" s="45">
        <v>0</v>
      </c>
      <c r="AL126" s="52">
        <f t="shared" si="30"/>
        <v>0</v>
      </c>
      <c r="AM126" s="52">
        <f t="shared" si="31"/>
        <v>249233.59</v>
      </c>
      <c r="AN126" s="51">
        <f t="shared" si="32"/>
        <v>249233.59</v>
      </c>
      <c r="AO126" s="51">
        <f t="shared" si="33"/>
        <v>0</v>
      </c>
      <c r="AP126" s="125" t="s">
        <v>344</v>
      </c>
      <c r="AQ126" s="52">
        <v>22380.89</v>
      </c>
      <c r="AR126" s="51"/>
      <c r="AS126" s="51">
        <f t="shared" si="28"/>
        <v>22380.89</v>
      </c>
      <c r="AT126" s="51">
        <f t="shared" si="35"/>
        <v>766.41000000000349</v>
      </c>
      <c r="AU126" s="48"/>
      <c r="AV126" s="46"/>
    </row>
    <row r="127" spans="1:49" ht="24.75" hidden="1" x14ac:dyDescent="0.2">
      <c r="A127" s="32">
        <v>639</v>
      </c>
      <c r="B127" s="105" t="s">
        <v>673</v>
      </c>
      <c r="C127" s="106"/>
      <c r="D127" s="107">
        <v>386</v>
      </c>
      <c r="E127" s="36" t="s">
        <v>674</v>
      </c>
      <c r="F127" s="36"/>
      <c r="G127" s="36"/>
      <c r="H127" s="33" t="s">
        <v>209</v>
      </c>
      <c r="I127" s="107">
        <v>6222</v>
      </c>
      <c r="J127" s="107"/>
      <c r="K127" s="39">
        <v>2.2999999999999998</v>
      </c>
      <c r="L127" s="40" t="s">
        <v>210</v>
      </c>
      <c r="M127" s="69" t="s">
        <v>75</v>
      </c>
      <c r="N127" s="42" t="s">
        <v>63</v>
      </c>
      <c r="O127" s="41" t="s">
        <v>77</v>
      </c>
      <c r="P127" s="46" t="s">
        <v>434</v>
      </c>
      <c r="Q127" s="62" t="s">
        <v>675</v>
      </c>
      <c r="R127" s="44" t="s">
        <v>676</v>
      </c>
      <c r="S127" s="45">
        <f t="shared" si="36"/>
        <v>470000</v>
      </c>
      <c r="T127" s="45">
        <v>470000</v>
      </c>
      <c r="U127" s="45">
        <v>0</v>
      </c>
      <c r="V127" s="109" t="s">
        <v>677</v>
      </c>
      <c r="W127" s="63">
        <v>41870</v>
      </c>
      <c r="X127" s="48"/>
      <c r="Y127" s="109" t="s">
        <v>101</v>
      </c>
      <c r="Z127" s="45"/>
      <c r="AA127" s="45"/>
      <c r="AB127" s="45">
        <f t="shared" si="29"/>
        <v>0</v>
      </c>
      <c r="AC127" s="48"/>
      <c r="AD127" s="63"/>
      <c r="AE127" s="51">
        <f t="shared" si="37"/>
        <v>0</v>
      </c>
      <c r="AF127" s="52">
        <f t="shared" si="38"/>
        <v>12977.530000000028</v>
      </c>
      <c r="AG127" s="52">
        <v>457022.47</v>
      </c>
      <c r="AH127" s="52">
        <f>137106.75+207902.19</f>
        <v>345008.94</v>
      </c>
      <c r="AI127" s="52">
        <f t="shared" si="34"/>
        <v>112013.52999999997</v>
      </c>
      <c r="AJ127" s="124">
        <v>0</v>
      </c>
      <c r="AK127" s="45">
        <v>0</v>
      </c>
      <c r="AL127" s="52">
        <f t="shared" si="30"/>
        <v>0</v>
      </c>
      <c r="AM127" s="52">
        <f t="shared" si="31"/>
        <v>457022.47</v>
      </c>
      <c r="AN127" s="51">
        <f t="shared" si="32"/>
        <v>345008.94</v>
      </c>
      <c r="AO127" s="51">
        <f t="shared" si="33"/>
        <v>112013.52999999997</v>
      </c>
      <c r="AP127" s="125"/>
      <c r="AQ127" s="52">
        <v>118195.47</v>
      </c>
      <c r="AR127" s="51">
        <v>76811.149999999994</v>
      </c>
      <c r="AS127" s="51">
        <f t="shared" si="28"/>
        <v>41384.320000000007</v>
      </c>
      <c r="AT127" s="51">
        <f t="shared" si="35"/>
        <v>124991.06</v>
      </c>
      <c r="AU127" s="48"/>
      <c r="AV127" s="46"/>
    </row>
    <row r="128" spans="1:49" ht="24.75" hidden="1" x14ac:dyDescent="0.2">
      <c r="A128" s="32">
        <v>639</v>
      </c>
      <c r="B128" s="105" t="s">
        <v>678</v>
      </c>
      <c r="C128" s="106"/>
      <c r="D128" s="107">
        <v>348</v>
      </c>
      <c r="E128" s="67" t="s">
        <v>679</v>
      </c>
      <c r="F128" s="67"/>
      <c r="G128" s="67"/>
      <c r="H128" s="33" t="s">
        <v>209</v>
      </c>
      <c r="I128" s="107">
        <v>6222</v>
      </c>
      <c r="J128" s="107"/>
      <c r="K128" s="39">
        <v>2.2999999999999998</v>
      </c>
      <c r="L128" s="40" t="s">
        <v>210</v>
      </c>
      <c r="M128" s="69" t="s">
        <v>75</v>
      </c>
      <c r="N128" s="42" t="s">
        <v>76</v>
      </c>
      <c r="O128" s="41" t="s">
        <v>77</v>
      </c>
      <c r="P128" s="46" t="s">
        <v>128</v>
      </c>
      <c r="Q128" s="62" t="s">
        <v>680</v>
      </c>
      <c r="R128" s="33" t="s">
        <v>681</v>
      </c>
      <c r="S128" s="45">
        <f t="shared" si="36"/>
        <v>903760</v>
      </c>
      <c r="T128" s="45">
        <v>903760</v>
      </c>
      <c r="U128" s="45">
        <v>0</v>
      </c>
      <c r="V128" s="109" t="s">
        <v>668</v>
      </c>
      <c r="W128" s="63">
        <v>41857</v>
      </c>
      <c r="X128" s="48"/>
      <c r="Y128" s="109" t="s">
        <v>234</v>
      </c>
      <c r="Z128" s="45"/>
      <c r="AA128" s="45"/>
      <c r="AB128" s="45">
        <f t="shared" si="29"/>
        <v>0</v>
      </c>
      <c r="AC128" s="48"/>
      <c r="AD128" s="63"/>
      <c r="AE128" s="51">
        <f t="shared" si="37"/>
        <v>0</v>
      </c>
      <c r="AF128" s="52">
        <f t="shared" si="38"/>
        <v>5210.8100000000559</v>
      </c>
      <c r="AG128" s="52">
        <v>898549.19</v>
      </c>
      <c r="AH128" s="52">
        <f>269564.76+246100.38+267848.92+115035.12</f>
        <v>898549.18</v>
      </c>
      <c r="AI128" s="52">
        <f t="shared" si="34"/>
        <v>9.9999998928979039E-3</v>
      </c>
      <c r="AJ128" s="124">
        <v>0</v>
      </c>
      <c r="AK128" s="45">
        <v>0</v>
      </c>
      <c r="AL128" s="52">
        <f t="shared" si="30"/>
        <v>0</v>
      </c>
      <c r="AM128" s="52">
        <f t="shared" si="31"/>
        <v>898549.19</v>
      </c>
      <c r="AN128" s="51">
        <f t="shared" si="32"/>
        <v>898549.18</v>
      </c>
      <c r="AO128" s="51">
        <f t="shared" si="33"/>
        <v>9.9999998928979039E-3</v>
      </c>
      <c r="AP128" s="141" t="s">
        <v>205</v>
      </c>
      <c r="AQ128" s="52">
        <v>232383.41</v>
      </c>
      <c r="AR128" s="51">
        <f>90923.79+98958.96+42500.66</f>
        <v>232383.41</v>
      </c>
      <c r="AS128" s="51">
        <f t="shared" si="28"/>
        <v>0</v>
      </c>
      <c r="AT128" s="126">
        <f t="shared" si="35"/>
        <v>5210.8199999999488</v>
      </c>
      <c r="AU128" s="48"/>
      <c r="AV128" s="46"/>
    </row>
    <row r="129" spans="1:48" ht="49.5" hidden="1" x14ac:dyDescent="0.2">
      <c r="A129" s="32">
        <v>639</v>
      </c>
      <c r="B129" s="105" t="s">
        <v>682</v>
      </c>
      <c r="C129" s="106"/>
      <c r="D129" s="107">
        <v>349</v>
      </c>
      <c r="E129" s="67" t="s">
        <v>683</v>
      </c>
      <c r="F129" s="67"/>
      <c r="G129" s="67"/>
      <c r="H129" s="33" t="s">
        <v>209</v>
      </c>
      <c r="I129" s="107">
        <v>6222</v>
      </c>
      <c r="J129" s="107"/>
      <c r="K129" s="39">
        <v>2.2999999999999998</v>
      </c>
      <c r="L129" s="40" t="s">
        <v>210</v>
      </c>
      <c r="M129" s="69" t="s">
        <v>75</v>
      </c>
      <c r="N129" s="42" t="s">
        <v>63</v>
      </c>
      <c r="O129" s="41" t="s">
        <v>77</v>
      </c>
      <c r="P129" s="46" t="s">
        <v>190</v>
      </c>
      <c r="Q129" s="62" t="s">
        <v>666</v>
      </c>
      <c r="R129" s="33" t="s">
        <v>684</v>
      </c>
      <c r="S129" s="45">
        <f t="shared" si="36"/>
        <v>480000</v>
      </c>
      <c r="T129" s="45">
        <v>480000</v>
      </c>
      <c r="U129" s="45">
        <v>0</v>
      </c>
      <c r="V129" s="109" t="s">
        <v>668</v>
      </c>
      <c r="W129" s="63">
        <v>41857</v>
      </c>
      <c r="X129" s="48"/>
      <c r="Y129" s="109" t="s">
        <v>234</v>
      </c>
      <c r="Z129" s="45"/>
      <c r="AA129" s="45"/>
      <c r="AB129" s="45">
        <f t="shared" si="29"/>
        <v>0</v>
      </c>
      <c r="AC129" s="48"/>
      <c r="AD129" s="63"/>
      <c r="AE129" s="51">
        <f t="shared" si="37"/>
        <v>0</v>
      </c>
      <c r="AF129" s="52">
        <f t="shared" si="38"/>
        <v>2612.4500000000116</v>
      </c>
      <c r="AG129" s="52">
        <v>477387.55</v>
      </c>
      <c r="AH129" s="52">
        <f>143216.27+270326.55+63844.73</f>
        <v>477387.54999999993</v>
      </c>
      <c r="AI129" s="52">
        <f t="shared" si="34"/>
        <v>5.8207660913467407E-11</v>
      </c>
      <c r="AJ129" s="124">
        <v>0</v>
      </c>
      <c r="AK129" s="45">
        <v>0</v>
      </c>
      <c r="AL129" s="52">
        <f t="shared" si="30"/>
        <v>0</v>
      </c>
      <c r="AM129" s="52">
        <f t="shared" si="31"/>
        <v>477387.55</v>
      </c>
      <c r="AN129" s="51">
        <f t="shared" si="32"/>
        <v>477387.54999999993</v>
      </c>
      <c r="AO129" s="51">
        <f t="shared" si="33"/>
        <v>0</v>
      </c>
      <c r="AP129" s="125" t="s">
        <v>333</v>
      </c>
      <c r="AQ129" s="52">
        <v>123462.3</v>
      </c>
      <c r="AR129" s="51">
        <f>99874.34+23587.96</f>
        <v>123462.29999999999</v>
      </c>
      <c r="AS129" s="51">
        <f t="shared" si="28"/>
        <v>1.4551915228366852E-11</v>
      </c>
      <c r="AT129" s="126">
        <f t="shared" si="35"/>
        <v>2612.4500000000698</v>
      </c>
      <c r="AU129" s="48"/>
      <c r="AV129" s="46"/>
    </row>
    <row r="130" spans="1:48" ht="24.75" hidden="1" x14ac:dyDescent="0.2">
      <c r="A130" s="32">
        <v>639</v>
      </c>
      <c r="B130" s="105" t="s">
        <v>685</v>
      </c>
      <c r="C130" s="106"/>
      <c r="D130" s="107">
        <v>350</v>
      </c>
      <c r="E130" s="67" t="s">
        <v>686</v>
      </c>
      <c r="F130" s="67"/>
      <c r="G130" s="67"/>
      <c r="H130" s="33" t="s">
        <v>209</v>
      </c>
      <c r="I130" s="107">
        <v>6222</v>
      </c>
      <c r="J130" s="107"/>
      <c r="K130" s="39">
        <v>2.2999999999999998</v>
      </c>
      <c r="L130" s="40" t="s">
        <v>210</v>
      </c>
      <c r="M130" s="69" t="s">
        <v>75</v>
      </c>
      <c r="N130" s="42" t="s">
        <v>63</v>
      </c>
      <c r="O130" s="41" t="s">
        <v>77</v>
      </c>
      <c r="P130" s="46" t="s">
        <v>190</v>
      </c>
      <c r="Q130" s="62" t="s">
        <v>666</v>
      </c>
      <c r="R130" s="33" t="s">
        <v>687</v>
      </c>
      <c r="S130" s="45">
        <f t="shared" si="36"/>
        <v>1049350</v>
      </c>
      <c r="T130" s="45">
        <v>1049350</v>
      </c>
      <c r="U130" s="45">
        <v>0</v>
      </c>
      <c r="V130" s="109" t="s">
        <v>668</v>
      </c>
      <c r="W130" s="63">
        <v>41857</v>
      </c>
      <c r="X130" s="48"/>
      <c r="Y130" s="109" t="s">
        <v>234</v>
      </c>
      <c r="Z130" s="45"/>
      <c r="AA130" s="45"/>
      <c r="AB130" s="45">
        <f t="shared" si="29"/>
        <v>0</v>
      </c>
      <c r="AC130" s="48"/>
      <c r="AD130" s="63"/>
      <c r="AE130" s="51">
        <f t="shared" si="37"/>
        <v>0</v>
      </c>
      <c r="AF130" s="52">
        <f t="shared" si="38"/>
        <v>22313.520000000019</v>
      </c>
      <c r="AG130" s="52">
        <v>1027036.48</v>
      </c>
      <c r="AH130" s="52">
        <f>513518.24+453872.78+59645.46</f>
        <v>1027036.48</v>
      </c>
      <c r="AI130" s="52">
        <f t="shared" si="34"/>
        <v>0</v>
      </c>
      <c r="AJ130" s="124">
        <v>0</v>
      </c>
      <c r="AK130" s="45">
        <v>0</v>
      </c>
      <c r="AL130" s="52">
        <f t="shared" si="30"/>
        <v>0</v>
      </c>
      <c r="AM130" s="52">
        <f t="shared" si="31"/>
        <v>1027036.48</v>
      </c>
      <c r="AN130" s="51">
        <f t="shared" si="32"/>
        <v>1027036.48</v>
      </c>
      <c r="AO130" s="51">
        <f t="shared" si="33"/>
        <v>0</v>
      </c>
      <c r="AP130" s="125" t="s">
        <v>688</v>
      </c>
      <c r="AQ130" s="52">
        <v>442688.14</v>
      </c>
      <c r="AR130" s="51">
        <f>391269.65+51418.49</f>
        <v>442688.14</v>
      </c>
      <c r="AS130" s="51">
        <f t="shared" si="28"/>
        <v>0</v>
      </c>
      <c r="AT130" s="126">
        <f t="shared" si="35"/>
        <v>22313.520000000019</v>
      </c>
      <c r="AU130" s="48"/>
      <c r="AV130" s="46"/>
    </row>
    <row r="131" spans="1:48" ht="33" hidden="1" x14ac:dyDescent="0.2">
      <c r="A131" s="32">
        <v>639</v>
      </c>
      <c r="B131" s="105" t="s">
        <v>689</v>
      </c>
      <c r="C131" s="106"/>
      <c r="D131" s="107">
        <v>375</v>
      </c>
      <c r="E131" s="67" t="s">
        <v>690</v>
      </c>
      <c r="F131" s="37" t="s">
        <v>59</v>
      </c>
      <c r="G131" s="67"/>
      <c r="H131" s="33" t="s">
        <v>209</v>
      </c>
      <c r="I131" s="107">
        <v>6222</v>
      </c>
      <c r="J131" s="107"/>
      <c r="K131" s="39">
        <v>2.2999999999999998</v>
      </c>
      <c r="L131" s="40" t="s">
        <v>210</v>
      </c>
      <c r="M131" s="69" t="s">
        <v>75</v>
      </c>
      <c r="N131" s="42" t="s">
        <v>76</v>
      </c>
      <c r="O131" s="41" t="s">
        <v>77</v>
      </c>
      <c r="P131" s="46" t="s">
        <v>691</v>
      </c>
      <c r="Q131" s="62" t="s">
        <v>692</v>
      </c>
      <c r="R131" s="33" t="s">
        <v>693</v>
      </c>
      <c r="S131" s="45">
        <f t="shared" si="36"/>
        <v>2690535.66</v>
      </c>
      <c r="T131" s="45">
        <f>2714400-23864.34</f>
        <v>2690535.66</v>
      </c>
      <c r="U131" s="45">
        <v>0</v>
      </c>
      <c r="V131" s="67" t="s">
        <v>694</v>
      </c>
      <c r="W131" s="47" t="s">
        <v>695</v>
      </c>
      <c r="X131" s="48"/>
      <c r="Y131" s="109" t="s">
        <v>234</v>
      </c>
      <c r="Z131" s="45"/>
      <c r="AA131" s="45"/>
      <c r="AB131" s="45">
        <f t="shared" si="29"/>
        <v>0</v>
      </c>
      <c r="AC131" s="48"/>
      <c r="AD131" s="63"/>
      <c r="AE131" s="51">
        <f t="shared" si="37"/>
        <v>0</v>
      </c>
      <c r="AF131" s="52">
        <f t="shared" si="38"/>
        <v>-9.9999997764825821E-3</v>
      </c>
      <c r="AG131" s="52">
        <v>2690535.67</v>
      </c>
      <c r="AH131" s="52">
        <f>807160.7+565854.17+808836.7+508684.09</f>
        <v>2690535.66</v>
      </c>
      <c r="AI131" s="52">
        <f t="shared" si="34"/>
        <v>9.9999997764825821E-3</v>
      </c>
      <c r="AJ131" s="124">
        <v>0</v>
      </c>
      <c r="AK131" s="45">
        <v>0</v>
      </c>
      <c r="AL131" s="52">
        <f t="shared" si="30"/>
        <v>0</v>
      </c>
      <c r="AM131" s="52">
        <f t="shared" si="31"/>
        <v>2690535.67</v>
      </c>
      <c r="AN131" s="51">
        <f t="shared" si="32"/>
        <v>2690535.66</v>
      </c>
      <c r="AO131" s="51">
        <f t="shared" si="33"/>
        <v>9.9999997764825821E-3</v>
      </c>
      <c r="AP131" s="125" t="s">
        <v>696</v>
      </c>
      <c r="AQ131" s="52">
        <v>695828.19</v>
      </c>
      <c r="AR131" s="51">
        <f>209059.42+298831.29+187937.48</f>
        <v>695828.19</v>
      </c>
      <c r="AS131" s="51">
        <f t="shared" si="28"/>
        <v>0</v>
      </c>
      <c r="AT131" s="126">
        <f t="shared" si="35"/>
        <v>0</v>
      </c>
      <c r="AU131" s="48"/>
      <c r="AV131" s="46"/>
    </row>
    <row r="132" spans="1:48" ht="33.75" hidden="1" x14ac:dyDescent="0.2">
      <c r="A132" s="32">
        <v>636</v>
      </c>
      <c r="B132" s="105" t="s">
        <v>697</v>
      </c>
      <c r="C132" s="106"/>
      <c r="D132" s="107">
        <v>401</v>
      </c>
      <c r="E132" s="67" t="s">
        <v>698</v>
      </c>
      <c r="F132" s="67"/>
      <c r="G132" s="67"/>
      <c r="H132" s="105"/>
      <c r="I132" s="107"/>
      <c r="J132" s="107"/>
      <c r="K132" s="140">
        <v>1.2</v>
      </c>
      <c r="L132" s="118" t="s">
        <v>650</v>
      </c>
      <c r="M132" s="69" t="s">
        <v>117</v>
      </c>
      <c r="N132" s="42" t="s">
        <v>76</v>
      </c>
      <c r="O132" s="62" t="s">
        <v>118</v>
      </c>
      <c r="P132" s="46" t="s">
        <v>141</v>
      </c>
      <c r="Q132" s="62" t="s">
        <v>699</v>
      </c>
      <c r="R132" s="33" t="s">
        <v>168</v>
      </c>
      <c r="S132" s="45">
        <f t="shared" si="36"/>
        <v>50000000</v>
      </c>
      <c r="T132" s="45">
        <v>50000000</v>
      </c>
      <c r="U132" s="45">
        <v>0</v>
      </c>
      <c r="V132" s="109" t="s">
        <v>700</v>
      </c>
      <c r="W132" s="63">
        <v>41856</v>
      </c>
      <c r="X132" s="48"/>
      <c r="Y132" s="109" t="s">
        <v>234</v>
      </c>
      <c r="Z132" s="45"/>
      <c r="AA132" s="45"/>
      <c r="AB132" s="45">
        <f t="shared" si="29"/>
        <v>0</v>
      </c>
      <c r="AC132" s="48"/>
      <c r="AD132" s="63"/>
      <c r="AE132" s="51">
        <f t="shared" si="37"/>
        <v>0</v>
      </c>
      <c r="AF132" s="52">
        <f t="shared" si="38"/>
        <v>0</v>
      </c>
      <c r="AG132" s="52">
        <v>50000000</v>
      </c>
      <c r="AH132" s="52">
        <f>20000000+20000000+10000000</f>
        <v>50000000</v>
      </c>
      <c r="AI132" s="52">
        <f t="shared" si="34"/>
        <v>0</v>
      </c>
      <c r="AJ132" s="124">
        <v>0</v>
      </c>
      <c r="AK132" s="45">
        <v>0</v>
      </c>
      <c r="AL132" s="52">
        <f t="shared" si="30"/>
        <v>0</v>
      </c>
      <c r="AM132" s="52">
        <f t="shared" si="31"/>
        <v>50000000</v>
      </c>
      <c r="AN132" s="51">
        <f t="shared" si="32"/>
        <v>50000000</v>
      </c>
      <c r="AO132" s="51">
        <f t="shared" si="33"/>
        <v>0</v>
      </c>
      <c r="AP132" s="125"/>
      <c r="AQ132" s="52"/>
      <c r="AR132" s="51"/>
      <c r="AS132" s="51">
        <f t="shared" si="28"/>
        <v>0</v>
      </c>
      <c r="AT132" s="126">
        <f t="shared" si="35"/>
        <v>0</v>
      </c>
      <c r="AU132" s="48"/>
      <c r="AV132" s="46"/>
    </row>
    <row r="133" spans="1:48" ht="33.75" hidden="1" x14ac:dyDescent="0.2">
      <c r="A133" s="123">
        <v>639</v>
      </c>
      <c r="B133" s="105" t="s">
        <v>702</v>
      </c>
      <c r="C133" s="106"/>
      <c r="D133" s="107">
        <v>341</v>
      </c>
      <c r="E133" s="67" t="s">
        <v>703</v>
      </c>
      <c r="F133" s="67"/>
      <c r="G133" s="67"/>
      <c r="H133" s="105"/>
      <c r="I133" s="107"/>
      <c r="J133" s="107"/>
      <c r="K133" s="39">
        <v>1</v>
      </c>
      <c r="L133" s="40" t="s">
        <v>137</v>
      </c>
      <c r="M133" s="69" t="s">
        <v>75</v>
      </c>
      <c r="N133" s="62" t="s">
        <v>704</v>
      </c>
      <c r="O133" s="62" t="s">
        <v>705</v>
      </c>
      <c r="P133" s="46" t="s">
        <v>141</v>
      </c>
      <c r="Q133" s="62" t="s">
        <v>142</v>
      </c>
      <c r="R133" s="33" t="s">
        <v>168</v>
      </c>
      <c r="S133" s="45">
        <f t="shared" si="36"/>
        <v>1000000</v>
      </c>
      <c r="T133" s="45">
        <v>1000000</v>
      </c>
      <c r="U133" s="45">
        <v>0</v>
      </c>
      <c r="V133" s="109" t="s">
        <v>706</v>
      </c>
      <c r="W133" s="63">
        <v>41838</v>
      </c>
      <c r="X133" s="48"/>
      <c r="Y133" s="109" t="s">
        <v>234</v>
      </c>
      <c r="Z133" s="45"/>
      <c r="AA133" s="45"/>
      <c r="AB133" s="45">
        <f t="shared" si="29"/>
        <v>0</v>
      </c>
      <c r="AC133" s="48"/>
      <c r="AD133" s="63"/>
      <c r="AE133" s="51">
        <f t="shared" si="37"/>
        <v>0</v>
      </c>
      <c r="AF133" s="52">
        <f t="shared" si="38"/>
        <v>1000000</v>
      </c>
      <c r="AG133" s="52"/>
      <c r="AH133" s="52"/>
      <c r="AI133" s="52">
        <f t="shared" si="34"/>
        <v>0</v>
      </c>
      <c r="AJ133" s="124">
        <v>0</v>
      </c>
      <c r="AK133" s="45">
        <v>0</v>
      </c>
      <c r="AL133" s="52">
        <f t="shared" si="30"/>
        <v>0</v>
      </c>
      <c r="AM133" s="52">
        <f t="shared" si="31"/>
        <v>0</v>
      </c>
      <c r="AN133" s="51">
        <f t="shared" si="32"/>
        <v>0</v>
      </c>
      <c r="AO133" s="51">
        <f t="shared" si="33"/>
        <v>0</v>
      </c>
      <c r="AP133" s="125"/>
      <c r="AQ133" s="52"/>
      <c r="AR133" s="51"/>
      <c r="AS133" s="51">
        <f t="shared" si="28"/>
        <v>0</v>
      </c>
      <c r="AT133" s="51">
        <f t="shared" si="35"/>
        <v>1000000</v>
      </c>
      <c r="AU133" s="48"/>
      <c r="AV133" s="46"/>
    </row>
    <row r="134" spans="1:48" ht="24.75" hidden="1" x14ac:dyDescent="0.2">
      <c r="A134" s="32">
        <v>639</v>
      </c>
      <c r="B134" s="105" t="s">
        <v>707</v>
      </c>
      <c r="C134" s="106"/>
      <c r="D134" s="107">
        <v>360</v>
      </c>
      <c r="E134" s="36" t="s">
        <v>708</v>
      </c>
      <c r="F134" s="36"/>
      <c r="G134" s="36"/>
      <c r="H134" s="33" t="s">
        <v>209</v>
      </c>
      <c r="I134" s="107">
        <v>6222</v>
      </c>
      <c r="J134" s="107"/>
      <c r="K134" s="39">
        <v>2.2999999999999998</v>
      </c>
      <c r="L134" s="40" t="s">
        <v>210</v>
      </c>
      <c r="M134" s="69" t="s">
        <v>75</v>
      </c>
      <c r="N134" s="42" t="s">
        <v>63</v>
      </c>
      <c r="O134" s="41" t="s">
        <v>77</v>
      </c>
      <c r="P134" s="46" t="s">
        <v>229</v>
      </c>
      <c r="Q134" s="62" t="s">
        <v>709</v>
      </c>
      <c r="R134" s="33" t="s">
        <v>710</v>
      </c>
      <c r="S134" s="45">
        <f t="shared" si="36"/>
        <v>350000</v>
      </c>
      <c r="T134" s="45">
        <v>350000</v>
      </c>
      <c r="U134" s="45">
        <v>0</v>
      </c>
      <c r="V134" s="109" t="s">
        <v>711</v>
      </c>
      <c r="W134" s="63">
        <v>41864</v>
      </c>
      <c r="X134" s="48"/>
      <c r="Y134" s="109" t="s">
        <v>234</v>
      </c>
      <c r="Z134" s="45"/>
      <c r="AA134" s="45"/>
      <c r="AB134" s="45">
        <f t="shared" si="29"/>
        <v>0</v>
      </c>
      <c r="AC134" s="48"/>
      <c r="AD134" s="63"/>
      <c r="AE134" s="51">
        <f t="shared" si="37"/>
        <v>0</v>
      </c>
      <c r="AF134" s="52">
        <f t="shared" si="38"/>
        <v>10275.580000000016</v>
      </c>
      <c r="AG134" s="52">
        <v>339724.42</v>
      </c>
      <c r="AH134" s="52">
        <f>101917.32+43585.69+98426.81+95794.6</f>
        <v>339724.42000000004</v>
      </c>
      <c r="AI134" s="52">
        <f t="shared" si="34"/>
        <v>-5.8207660913467407E-11</v>
      </c>
      <c r="AJ134" s="124">
        <v>0</v>
      </c>
      <c r="AK134" s="45">
        <v>0</v>
      </c>
      <c r="AL134" s="52">
        <f t="shared" si="30"/>
        <v>0</v>
      </c>
      <c r="AM134" s="52">
        <f t="shared" si="31"/>
        <v>339724.42</v>
      </c>
      <c r="AN134" s="51">
        <f t="shared" si="32"/>
        <v>339724.42000000004</v>
      </c>
      <c r="AO134" s="51">
        <f t="shared" si="33"/>
        <v>0</v>
      </c>
      <c r="AP134" s="125" t="s">
        <v>712</v>
      </c>
      <c r="AQ134" s="52">
        <v>87859.76</v>
      </c>
      <c r="AR134" s="51">
        <f>16103.09+36364.59+35392.08</f>
        <v>87859.76</v>
      </c>
      <c r="AS134" s="51">
        <f t="shared" si="28"/>
        <v>0</v>
      </c>
      <c r="AT134" s="126">
        <f t="shared" si="35"/>
        <v>10275.579999999958</v>
      </c>
      <c r="AU134" s="48"/>
      <c r="AV134" s="46"/>
    </row>
    <row r="135" spans="1:48" ht="33.75" hidden="1" x14ac:dyDescent="0.2">
      <c r="A135" s="64">
        <v>6411</v>
      </c>
      <c r="B135" s="105" t="s">
        <v>713</v>
      </c>
      <c r="C135" s="106"/>
      <c r="D135" s="107">
        <v>423</v>
      </c>
      <c r="E135" s="36" t="s">
        <v>714</v>
      </c>
      <c r="F135" s="36"/>
      <c r="G135" s="36"/>
      <c r="H135" s="105"/>
      <c r="I135" s="107" t="s">
        <v>95</v>
      </c>
      <c r="J135" s="107"/>
      <c r="K135" s="39">
        <v>1</v>
      </c>
      <c r="L135" s="40" t="s">
        <v>137</v>
      </c>
      <c r="M135" s="69" t="s">
        <v>138</v>
      </c>
      <c r="N135" s="62" t="s">
        <v>715</v>
      </c>
      <c r="O135" s="62" t="s">
        <v>716</v>
      </c>
      <c r="P135" s="46" t="s">
        <v>98</v>
      </c>
      <c r="Q135" s="62" t="s">
        <v>253</v>
      </c>
      <c r="R135" s="33" t="s">
        <v>100</v>
      </c>
      <c r="S135" s="45">
        <f t="shared" si="36"/>
        <v>400000</v>
      </c>
      <c r="T135" s="45">
        <v>400000</v>
      </c>
      <c r="U135" s="45">
        <v>0</v>
      </c>
      <c r="V135" s="109" t="s">
        <v>717</v>
      </c>
      <c r="W135" s="63">
        <v>41870</v>
      </c>
      <c r="X135" s="48"/>
      <c r="Y135" s="109" t="s">
        <v>234</v>
      </c>
      <c r="Z135" s="45"/>
      <c r="AA135" s="45"/>
      <c r="AB135" s="45">
        <f t="shared" si="29"/>
        <v>0</v>
      </c>
      <c r="AC135" s="48"/>
      <c r="AD135" s="63"/>
      <c r="AE135" s="51">
        <f t="shared" si="37"/>
        <v>0</v>
      </c>
      <c r="AF135" s="52">
        <f t="shared" si="38"/>
        <v>0</v>
      </c>
      <c r="AG135" s="52">
        <v>400000</v>
      </c>
      <c r="AH135" s="52">
        <f>65000+150000+185000</f>
        <v>400000</v>
      </c>
      <c r="AI135" s="52">
        <f t="shared" si="34"/>
        <v>0</v>
      </c>
      <c r="AJ135" s="124">
        <v>0</v>
      </c>
      <c r="AK135" s="45">
        <v>0</v>
      </c>
      <c r="AL135" s="52">
        <f t="shared" si="30"/>
        <v>0</v>
      </c>
      <c r="AM135" s="52">
        <f t="shared" si="31"/>
        <v>400000</v>
      </c>
      <c r="AN135" s="51">
        <f t="shared" si="32"/>
        <v>400000</v>
      </c>
      <c r="AO135" s="51">
        <f t="shared" si="33"/>
        <v>0</v>
      </c>
      <c r="AP135" s="125"/>
      <c r="AQ135" s="52"/>
      <c r="AR135" s="51"/>
      <c r="AS135" s="51">
        <f t="shared" ref="AS135:AS195" si="39">SUM(AQ135-AR135)</f>
        <v>0</v>
      </c>
      <c r="AT135" s="126">
        <f t="shared" si="35"/>
        <v>0</v>
      </c>
      <c r="AU135" s="48"/>
      <c r="AV135" s="46"/>
    </row>
    <row r="136" spans="1:48" ht="24.75" hidden="1" x14ac:dyDescent="0.2">
      <c r="A136" s="32">
        <v>639</v>
      </c>
      <c r="B136" s="105" t="s">
        <v>718</v>
      </c>
      <c r="C136" s="106"/>
      <c r="D136" s="107">
        <v>361</v>
      </c>
      <c r="E136" s="36" t="s">
        <v>719</v>
      </c>
      <c r="F136" s="36"/>
      <c r="G136" s="36"/>
      <c r="H136" s="33" t="s">
        <v>209</v>
      </c>
      <c r="I136" s="107">
        <v>6222</v>
      </c>
      <c r="J136" s="107"/>
      <c r="K136" s="39">
        <v>2.2999999999999998</v>
      </c>
      <c r="L136" s="40" t="s">
        <v>210</v>
      </c>
      <c r="M136" s="69" t="s">
        <v>75</v>
      </c>
      <c r="N136" s="42" t="s">
        <v>76</v>
      </c>
      <c r="O136" s="41" t="s">
        <v>77</v>
      </c>
      <c r="P136" s="46" t="s">
        <v>89</v>
      </c>
      <c r="Q136" s="62" t="s">
        <v>616</v>
      </c>
      <c r="R136" s="33" t="s">
        <v>720</v>
      </c>
      <c r="S136" s="45">
        <f t="shared" si="36"/>
        <v>690000</v>
      </c>
      <c r="T136" s="45">
        <v>690000</v>
      </c>
      <c r="U136" s="45">
        <v>0</v>
      </c>
      <c r="V136" s="109" t="s">
        <v>721</v>
      </c>
      <c r="W136" s="63">
        <v>41864</v>
      </c>
      <c r="X136" s="48"/>
      <c r="Y136" s="109" t="s">
        <v>234</v>
      </c>
      <c r="Z136" s="45"/>
      <c r="AA136" s="45"/>
      <c r="AB136" s="45">
        <f t="shared" si="29"/>
        <v>0</v>
      </c>
      <c r="AC136" s="48"/>
      <c r="AD136" s="63"/>
      <c r="AE136" s="51">
        <f t="shared" si="37"/>
        <v>0</v>
      </c>
      <c r="AF136" s="52">
        <f t="shared" si="38"/>
        <v>8713.8199999999488</v>
      </c>
      <c r="AG136" s="52">
        <v>681286.18</v>
      </c>
      <c r="AH136" s="52">
        <f>204385.85+181878.89+242801.8+52219.63</f>
        <v>681286.17</v>
      </c>
      <c r="AI136" s="52">
        <f t="shared" si="34"/>
        <v>1.0000000009313226E-2</v>
      </c>
      <c r="AJ136" s="124">
        <v>0</v>
      </c>
      <c r="AK136" s="45">
        <v>0</v>
      </c>
      <c r="AL136" s="52">
        <f t="shared" si="30"/>
        <v>0</v>
      </c>
      <c r="AM136" s="52">
        <f t="shared" si="31"/>
        <v>681286.18</v>
      </c>
      <c r="AN136" s="51">
        <f t="shared" si="32"/>
        <v>681286.17</v>
      </c>
      <c r="AO136" s="51">
        <f t="shared" si="33"/>
        <v>1.0000000009313226E-2</v>
      </c>
      <c r="AP136" s="125" t="s">
        <v>333</v>
      </c>
      <c r="AQ136" s="52">
        <v>176194.7</v>
      </c>
      <c r="AR136" s="51">
        <f>67196.63+89705.1+19292.97</f>
        <v>176194.7</v>
      </c>
      <c r="AS136" s="51">
        <f t="shared" si="39"/>
        <v>0</v>
      </c>
      <c r="AT136" s="126">
        <f t="shared" si="35"/>
        <v>8713.8299999999581</v>
      </c>
      <c r="AU136" s="48"/>
      <c r="AV136" s="46"/>
    </row>
    <row r="137" spans="1:48" ht="24.75" hidden="1" x14ac:dyDescent="0.2">
      <c r="A137" s="32">
        <v>639</v>
      </c>
      <c r="B137" s="105" t="s">
        <v>722</v>
      </c>
      <c r="C137" s="106"/>
      <c r="D137" s="107">
        <v>356</v>
      </c>
      <c r="E137" s="36" t="s">
        <v>723</v>
      </c>
      <c r="F137" s="36"/>
      <c r="G137" s="36"/>
      <c r="H137" s="33" t="s">
        <v>209</v>
      </c>
      <c r="I137" s="107">
        <v>6222</v>
      </c>
      <c r="J137" s="107"/>
      <c r="K137" s="39">
        <v>2.2999999999999998</v>
      </c>
      <c r="L137" s="40" t="s">
        <v>210</v>
      </c>
      <c r="M137" s="69" t="s">
        <v>75</v>
      </c>
      <c r="N137" s="42" t="s">
        <v>76</v>
      </c>
      <c r="O137" s="41" t="s">
        <v>77</v>
      </c>
      <c r="P137" s="46" t="s">
        <v>724</v>
      </c>
      <c r="Q137" s="62" t="s">
        <v>725</v>
      </c>
      <c r="R137" s="33" t="s">
        <v>726</v>
      </c>
      <c r="S137" s="45">
        <f t="shared" si="36"/>
        <v>1960160</v>
      </c>
      <c r="T137" s="45">
        <v>1960160</v>
      </c>
      <c r="U137" s="45">
        <v>0</v>
      </c>
      <c r="V137" s="109" t="s">
        <v>727</v>
      </c>
      <c r="W137" s="63">
        <v>41870</v>
      </c>
      <c r="X137" s="48"/>
      <c r="Y137" s="109" t="s">
        <v>234</v>
      </c>
      <c r="Z137" s="45"/>
      <c r="AA137" s="45"/>
      <c r="AB137" s="45">
        <f t="shared" si="29"/>
        <v>0</v>
      </c>
      <c r="AC137" s="48"/>
      <c r="AD137" s="63"/>
      <c r="AE137" s="51">
        <f t="shared" si="37"/>
        <v>0</v>
      </c>
      <c r="AF137" s="52">
        <f t="shared" si="38"/>
        <v>14015.189999999944</v>
      </c>
      <c r="AG137" s="52">
        <v>1946144.81</v>
      </c>
      <c r="AH137" s="52">
        <f>973072.4+84600.66</f>
        <v>1057673.06</v>
      </c>
      <c r="AI137" s="52">
        <f t="shared" si="34"/>
        <v>888471.75</v>
      </c>
      <c r="AJ137" s="124">
        <v>0</v>
      </c>
      <c r="AK137" s="45">
        <v>0</v>
      </c>
      <c r="AL137" s="52">
        <f t="shared" si="30"/>
        <v>0</v>
      </c>
      <c r="AM137" s="52">
        <f t="shared" si="31"/>
        <v>1946144.81</v>
      </c>
      <c r="AN137" s="51">
        <f t="shared" si="32"/>
        <v>1057673.06</v>
      </c>
      <c r="AO137" s="51">
        <f t="shared" si="33"/>
        <v>888471.75</v>
      </c>
      <c r="AP137" s="125" t="s">
        <v>71</v>
      </c>
      <c r="AQ137" s="52">
        <v>838855.52</v>
      </c>
      <c r="AR137" s="51">
        <v>72931.600000000006</v>
      </c>
      <c r="AS137" s="51">
        <f t="shared" si="39"/>
        <v>765923.92</v>
      </c>
      <c r="AT137" s="51">
        <f t="shared" si="35"/>
        <v>902486.94</v>
      </c>
      <c r="AU137" s="48"/>
      <c r="AV137" s="46"/>
    </row>
    <row r="138" spans="1:48" ht="24.75" hidden="1" x14ac:dyDescent="0.2">
      <c r="A138" s="32">
        <v>639</v>
      </c>
      <c r="B138" s="105" t="s">
        <v>728</v>
      </c>
      <c r="C138" s="106"/>
      <c r="D138" s="107">
        <v>358</v>
      </c>
      <c r="E138" s="36" t="s">
        <v>729</v>
      </c>
      <c r="F138" s="36"/>
      <c r="G138" s="36"/>
      <c r="H138" s="33" t="s">
        <v>209</v>
      </c>
      <c r="I138" s="107">
        <v>6222</v>
      </c>
      <c r="J138" s="107"/>
      <c r="K138" s="39">
        <v>2.2999999999999998</v>
      </c>
      <c r="L138" s="40" t="s">
        <v>210</v>
      </c>
      <c r="M138" s="69" t="s">
        <v>75</v>
      </c>
      <c r="N138" s="42" t="s">
        <v>76</v>
      </c>
      <c r="O138" s="41" t="s">
        <v>77</v>
      </c>
      <c r="P138" s="46" t="s">
        <v>229</v>
      </c>
      <c r="Q138" s="62" t="s">
        <v>730</v>
      </c>
      <c r="R138" s="33" t="s">
        <v>731</v>
      </c>
      <c r="S138" s="45">
        <f t="shared" si="36"/>
        <v>130000</v>
      </c>
      <c r="T138" s="45">
        <v>130000</v>
      </c>
      <c r="U138" s="45">
        <v>0</v>
      </c>
      <c r="V138" s="109" t="s">
        <v>721</v>
      </c>
      <c r="W138" s="63">
        <v>41864</v>
      </c>
      <c r="X138" s="48"/>
      <c r="Y138" s="109" t="s">
        <v>234</v>
      </c>
      <c r="Z138" s="45"/>
      <c r="AA138" s="45"/>
      <c r="AB138" s="45">
        <f t="shared" si="29"/>
        <v>0</v>
      </c>
      <c r="AC138" s="48"/>
      <c r="AD138" s="63"/>
      <c r="AE138" s="51">
        <f t="shared" si="37"/>
        <v>0</v>
      </c>
      <c r="AF138" s="52">
        <f t="shared" si="38"/>
        <v>290.44999999999709</v>
      </c>
      <c r="AG138" s="52">
        <v>129709.55</v>
      </c>
      <c r="AH138" s="52">
        <f>38912.86+58159.97+32636.72</f>
        <v>129709.55</v>
      </c>
      <c r="AI138" s="52">
        <f t="shared" si="34"/>
        <v>0</v>
      </c>
      <c r="AJ138" s="124">
        <v>0</v>
      </c>
      <c r="AK138" s="45">
        <v>0</v>
      </c>
      <c r="AL138" s="52">
        <f t="shared" si="30"/>
        <v>0</v>
      </c>
      <c r="AM138" s="52">
        <f t="shared" si="31"/>
        <v>129709.55</v>
      </c>
      <c r="AN138" s="51">
        <f t="shared" si="32"/>
        <v>129709.55</v>
      </c>
      <c r="AO138" s="51">
        <f t="shared" si="33"/>
        <v>0</v>
      </c>
      <c r="AP138" s="125" t="s">
        <v>105</v>
      </c>
      <c r="AQ138" s="52">
        <v>33545.57</v>
      </c>
      <c r="AR138" s="51">
        <f>21487.67+12057.9</f>
        <v>33545.57</v>
      </c>
      <c r="AS138" s="51">
        <f t="shared" si="39"/>
        <v>0</v>
      </c>
      <c r="AT138" s="126">
        <f t="shared" si="35"/>
        <v>290.44999999999709</v>
      </c>
      <c r="AU138" s="48"/>
      <c r="AV138" s="46"/>
    </row>
    <row r="139" spans="1:48" ht="24.75" hidden="1" x14ac:dyDescent="0.2">
      <c r="A139" s="32">
        <v>639</v>
      </c>
      <c r="B139" s="105" t="s">
        <v>732</v>
      </c>
      <c r="C139" s="106"/>
      <c r="D139" s="107">
        <v>357</v>
      </c>
      <c r="E139" s="36" t="s">
        <v>733</v>
      </c>
      <c r="F139" s="36"/>
      <c r="G139" s="36"/>
      <c r="H139" s="33" t="s">
        <v>209</v>
      </c>
      <c r="I139" s="107">
        <v>6222</v>
      </c>
      <c r="J139" s="107"/>
      <c r="K139" s="39">
        <v>2.2999999999999998</v>
      </c>
      <c r="L139" s="40" t="s">
        <v>210</v>
      </c>
      <c r="M139" s="69" t="s">
        <v>75</v>
      </c>
      <c r="N139" s="42" t="s">
        <v>76</v>
      </c>
      <c r="O139" s="41" t="s">
        <v>77</v>
      </c>
      <c r="P139" s="46" t="s">
        <v>229</v>
      </c>
      <c r="Q139" s="62" t="s">
        <v>734</v>
      </c>
      <c r="R139" s="33" t="s">
        <v>735</v>
      </c>
      <c r="S139" s="45">
        <f t="shared" si="36"/>
        <v>130000</v>
      </c>
      <c r="T139" s="45">
        <v>130000</v>
      </c>
      <c r="U139" s="45">
        <v>0</v>
      </c>
      <c r="V139" s="109" t="s">
        <v>721</v>
      </c>
      <c r="W139" s="63">
        <v>41864</v>
      </c>
      <c r="X139" s="48"/>
      <c r="Y139" s="109" t="s">
        <v>234</v>
      </c>
      <c r="Z139" s="45"/>
      <c r="AA139" s="45"/>
      <c r="AB139" s="45">
        <f t="shared" si="29"/>
        <v>0</v>
      </c>
      <c r="AC139" s="48"/>
      <c r="AD139" s="63"/>
      <c r="AE139" s="51">
        <f t="shared" si="37"/>
        <v>0</v>
      </c>
      <c r="AF139" s="52">
        <f t="shared" si="38"/>
        <v>429.63999999999942</v>
      </c>
      <c r="AG139" s="52">
        <v>129570.36</v>
      </c>
      <c r="AH139" s="52">
        <f>38871.11+79148.01+11551.24</f>
        <v>129570.36</v>
      </c>
      <c r="AI139" s="52">
        <f t="shared" si="34"/>
        <v>0</v>
      </c>
      <c r="AJ139" s="124">
        <v>0</v>
      </c>
      <c r="AK139" s="45">
        <v>0</v>
      </c>
      <c r="AL139" s="52">
        <f t="shared" si="30"/>
        <v>0</v>
      </c>
      <c r="AM139" s="52">
        <f t="shared" si="31"/>
        <v>129570.36</v>
      </c>
      <c r="AN139" s="51">
        <f t="shared" si="32"/>
        <v>129570.36</v>
      </c>
      <c r="AO139" s="51">
        <f t="shared" si="33"/>
        <v>0</v>
      </c>
      <c r="AP139" s="125" t="s">
        <v>105</v>
      </c>
      <c r="AQ139" s="52">
        <v>33509.58</v>
      </c>
      <c r="AR139" s="51">
        <f>29241.88+4267.7</f>
        <v>33509.58</v>
      </c>
      <c r="AS139" s="51">
        <f t="shared" si="39"/>
        <v>0</v>
      </c>
      <c r="AT139" s="126">
        <f t="shared" si="35"/>
        <v>429.63999999999942</v>
      </c>
      <c r="AU139" s="48"/>
      <c r="AV139" s="46"/>
    </row>
    <row r="140" spans="1:48" ht="24.75" hidden="1" x14ac:dyDescent="0.2">
      <c r="A140" s="32">
        <v>639</v>
      </c>
      <c r="B140" s="105" t="s">
        <v>736</v>
      </c>
      <c r="C140" s="106"/>
      <c r="D140" s="107">
        <v>364</v>
      </c>
      <c r="E140" s="36" t="s">
        <v>737</v>
      </c>
      <c r="F140" s="36"/>
      <c r="G140" s="36"/>
      <c r="H140" s="33" t="s">
        <v>209</v>
      </c>
      <c r="I140" s="107">
        <v>6222</v>
      </c>
      <c r="J140" s="107"/>
      <c r="K140" s="39">
        <v>2.2999999999999998</v>
      </c>
      <c r="L140" s="40" t="s">
        <v>210</v>
      </c>
      <c r="M140" s="69" t="s">
        <v>75</v>
      </c>
      <c r="N140" s="42" t="s">
        <v>63</v>
      </c>
      <c r="O140" s="41" t="s">
        <v>77</v>
      </c>
      <c r="P140" s="46" t="s">
        <v>724</v>
      </c>
      <c r="Q140" s="62" t="s">
        <v>738</v>
      </c>
      <c r="R140" s="33" t="s">
        <v>739</v>
      </c>
      <c r="S140" s="45">
        <f t="shared" si="36"/>
        <v>728492.61</v>
      </c>
      <c r="T140" s="45">
        <v>728492.61</v>
      </c>
      <c r="U140" s="45">
        <v>0</v>
      </c>
      <c r="V140" s="109" t="s">
        <v>740</v>
      </c>
      <c r="W140" s="63">
        <v>41866</v>
      </c>
      <c r="X140" s="48"/>
      <c r="Y140" s="109" t="s">
        <v>234</v>
      </c>
      <c r="Z140" s="45"/>
      <c r="AA140" s="45"/>
      <c r="AB140" s="45">
        <f t="shared" si="29"/>
        <v>0</v>
      </c>
      <c r="AC140" s="48"/>
      <c r="AD140" s="63"/>
      <c r="AE140" s="51">
        <f t="shared" si="37"/>
        <v>0</v>
      </c>
      <c r="AF140" s="52">
        <f t="shared" si="38"/>
        <v>14597.150000000023</v>
      </c>
      <c r="AG140" s="52">
        <v>713895.46</v>
      </c>
      <c r="AH140" s="52">
        <f>214168.64+369961.8+129765.01</f>
        <v>713895.45</v>
      </c>
      <c r="AI140" s="52">
        <f t="shared" si="34"/>
        <v>1.0000000009313226E-2</v>
      </c>
      <c r="AJ140" s="124">
        <v>0</v>
      </c>
      <c r="AK140" s="45">
        <v>0</v>
      </c>
      <c r="AL140" s="52">
        <f t="shared" si="30"/>
        <v>0</v>
      </c>
      <c r="AM140" s="52">
        <f t="shared" si="31"/>
        <v>713895.46</v>
      </c>
      <c r="AN140" s="51">
        <f t="shared" si="32"/>
        <v>713895.45</v>
      </c>
      <c r="AO140" s="51">
        <f t="shared" si="33"/>
        <v>1.0000000009313226E-2</v>
      </c>
      <c r="AP140" s="125" t="s">
        <v>83</v>
      </c>
      <c r="AQ140" s="52">
        <v>184628.14</v>
      </c>
      <c r="AR140" s="51">
        <f>136685.39+47942.75</f>
        <v>184628.14</v>
      </c>
      <c r="AS140" s="51">
        <f t="shared" si="39"/>
        <v>0</v>
      </c>
      <c r="AT140" s="126">
        <f t="shared" si="35"/>
        <v>14597.160000000033</v>
      </c>
      <c r="AU140" s="48"/>
      <c r="AV140" s="46"/>
    </row>
    <row r="141" spans="1:48" ht="41.25" hidden="1" x14ac:dyDescent="0.2">
      <c r="A141" s="32">
        <v>636</v>
      </c>
      <c r="B141" s="105" t="s">
        <v>741</v>
      </c>
      <c r="C141" s="106"/>
      <c r="D141" s="107">
        <v>403</v>
      </c>
      <c r="E141" s="36" t="s">
        <v>742</v>
      </c>
      <c r="F141" s="36"/>
      <c r="G141" s="36" t="s">
        <v>743</v>
      </c>
      <c r="H141" s="33" t="s">
        <v>60</v>
      </c>
      <c r="I141" s="107">
        <v>6122</v>
      </c>
      <c r="J141" s="107"/>
      <c r="K141" s="39">
        <v>2</v>
      </c>
      <c r="L141" s="40" t="s">
        <v>61</v>
      </c>
      <c r="M141" s="69" t="s">
        <v>278</v>
      </c>
      <c r="N141" s="42" t="s">
        <v>76</v>
      </c>
      <c r="O141" s="62" t="s">
        <v>744</v>
      </c>
      <c r="P141" s="46" t="s">
        <v>229</v>
      </c>
      <c r="Q141" s="62" t="s">
        <v>745</v>
      </c>
      <c r="R141" s="33" t="s">
        <v>746</v>
      </c>
      <c r="S141" s="45">
        <f t="shared" si="36"/>
        <v>0</v>
      </c>
      <c r="T141" s="45">
        <f>1950545.38-1950545.38</f>
        <v>0</v>
      </c>
      <c r="U141" s="45">
        <f>50445.14-50445.14</f>
        <v>0</v>
      </c>
      <c r="V141" s="67" t="s">
        <v>747</v>
      </c>
      <c r="W141" s="47" t="s">
        <v>748</v>
      </c>
      <c r="X141" s="48"/>
      <c r="Y141" s="109" t="s">
        <v>282</v>
      </c>
      <c r="Z141" s="45">
        <v>49559.79</v>
      </c>
      <c r="AA141" s="45">
        <f>5579.6+4674.8+18444+9233.6+2900+5800+2720.01+203-203</f>
        <v>49352.01</v>
      </c>
      <c r="AB141" s="45">
        <f t="shared" si="29"/>
        <v>207.77999999999884</v>
      </c>
      <c r="AC141" s="48" t="s">
        <v>102</v>
      </c>
      <c r="AD141" s="63">
        <v>42054</v>
      </c>
      <c r="AE141" s="51">
        <f t="shared" si="37"/>
        <v>-49559.79</v>
      </c>
      <c r="AF141" s="52">
        <f t="shared" si="38"/>
        <v>0</v>
      </c>
      <c r="AG141" s="52">
        <f>1915268.05-1915268.05</f>
        <v>0</v>
      </c>
      <c r="AH141" s="52">
        <f>574580.42-574580.42</f>
        <v>0</v>
      </c>
      <c r="AI141" s="52">
        <f t="shared" si="34"/>
        <v>0</v>
      </c>
      <c r="AJ141" s="124">
        <v>0</v>
      </c>
      <c r="AK141" s="45">
        <v>0</v>
      </c>
      <c r="AL141" s="52">
        <f t="shared" si="30"/>
        <v>0</v>
      </c>
      <c r="AM141" s="52">
        <f t="shared" si="31"/>
        <v>49559.79</v>
      </c>
      <c r="AN141" s="51">
        <f t="shared" si="32"/>
        <v>49352.01</v>
      </c>
      <c r="AO141" s="51">
        <f t="shared" si="33"/>
        <v>207.77999999999884</v>
      </c>
      <c r="AP141" s="125" t="s">
        <v>344</v>
      </c>
      <c r="AQ141" s="52">
        <v>0</v>
      </c>
      <c r="AR141" s="51"/>
      <c r="AS141" s="51">
        <f t="shared" si="39"/>
        <v>0</v>
      </c>
      <c r="AT141" s="51">
        <f t="shared" si="35"/>
        <v>-49352.01</v>
      </c>
      <c r="AU141" s="48"/>
      <c r="AV141" s="46"/>
    </row>
    <row r="142" spans="1:48" ht="24.75" hidden="1" x14ac:dyDescent="0.2">
      <c r="A142" s="32">
        <v>639</v>
      </c>
      <c r="B142" s="105" t="s">
        <v>749</v>
      </c>
      <c r="C142" s="106"/>
      <c r="D142" s="107">
        <v>363</v>
      </c>
      <c r="E142" s="36" t="s">
        <v>750</v>
      </c>
      <c r="F142" s="36"/>
      <c r="G142" s="36"/>
      <c r="H142" s="33" t="s">
        <v>209</v>
      </c>
      <c r="I142" s="107">
        <v>6222</v>
      </c>
      <c r="J142" s="107"/>
      <c r="K142" s="39">
        <v>2.2999999999999998</v>
      </c>
      <c r="L142" s="40" t="s">
        <v>210</v>
      </c>
      <c r="M142" s="69" t="s">
        <v>75</v>
      </c>
      <c r="N142" s="42" t="s">
        <v>63</v>
      </c>
      <c r="O142" s="41" t="s">
        <v>77</v>
      </c>
      <c r="P142" s="46" t="s">
        <v>380</v>
      </c>
      <c r="Q142" s="62" t="s">
        <v>751</v>
      </c>
      <c r="R142" s="33" t="s">
        <v>752</v>
      </c>
      <c r="S142" s="45">
        <f t="shared" si="36"/>
        <v>296433.09000000003</v>
      </c>
      <c r="T142" s="45">
        <v>296433.09000000003</v>
      </c>
      <c r="U142" s="45">
        <v>0</v>
      </c>
      <c r="V142" s="109" t="s">
        <v>740</v>
      </c>
      <c r="W142" s="63">
        <v>41866</v>
      </c>
      <c r="X142" s="48"/>
      <c r="Y142" s="109" t="s">
        <v>234</v>
      </c>
      <c r="Z142" s="45"/>
      <c r="AA142" s="45"/>
      <c r="AB142" s="45">
        <f t="shared" si="29"/>
        <v>0</v>
      </c>
      <c r="AC142" s="48"/>
      <c r="AD142" s="63"/>
      <c r="AE142" s="51">
        <f t="shared" si="37"/>
        <v>0</v>
      </c>
      <c r="AF142" s="52">
        <f t="shared" si="38"/>
        <v>31464.530000000028</v>
      </c>
      <c r="AG142" s="52">
        <v>264968.56</v>
      </c>
      <c r="AH142" s="52">
        <f>79490.57+108239.8+77238.19</f>
        <v>264968.56</v>
      </c>
      <c r="AI142" s="52">
        <f t="shared" si="34"/>
        <v>0</v>
      </c>
      <c r="AJ142" s="124">
        <v>0</v>
      </c>
      <c r="AK142" s="45">
        <v>0</v>
      </c>
      <c r="AL142" s="52">
        <f t="shared" si="30"/>
        <v>0</v>
      </c>
      <c r="AM142" s="52">
        <f t="shared" si="31"/>
        <v>264968.56</v>
      </c>
      <c r="AN142" s="51">
        <f t="shared" si="32"/>
        <v>264968.56</v>
      </c>
      <c r="AO142" s="51">
        <f t="shared" si="33"/>
        <v>0</v>
      </c>
      <c r="AP142" s="125" t="s">
        <v>205</v>
      </c>
      <c r="AQ142" s="52">
        <v>68526.350000000006</v>
      </c>
      <c r="AR142" s="51">
        <f>39990.08+28536.27</f>
        <v>68526.350000000006</v>
      </c>
      <c r="AS142" s="51">
        <f t="shared" si="39"/>
        <v>0</v>
      </c>
      <c r="AT142" s="126">
        <f t="shared" si="35"/>
        <v>31464.530000000028</v>
      </c>
      <c r="AU142" s="48"/>
      <c r="AV142" s="46"/>
    </row>
    <row r="143" spans="1:48" ht="24.75" hidden="1" x14ac:dyDescent="0.2">
      <c r="A143" s="32">
        <v>636</v>
      </c>
      <c r="B143" s="105" t="s">
        <v>753</v>
      </c>
      <c r="C143" s="106"/>
      <c r="D143" s="107">
        <v>402</v>
      </c>
      <c r="E143" s="36" t="s">
        <v>754</v>
      </c>
      <c r="F143" s="37" t="s">
        <v>59</v>
      </c>
      <c r="G143" s="36" t="s">
        <v>755</v>
      </c>
      <c r="H143" s="33" t="s">
        <v>60</v>
      </c>
      <c r="I143" s="39">
        <v>6224</v>
      </c>
      <c r="J143" s="39"/>
      <c r="K143" s="39">
        <v>2</v>
      </c>
      <c r="L143" s="40" t="s">
        <v>61</v>
      </c>
      <c r="M143" s="69" t="s">
        <v>756</v>
      </c>
      <c r="N143" s="42" t="s">
        <v>76</v>
      </c>
      <c r="O143" s="62" t="s">
        <v>757</v>
      </c>
      <c r="P143" s="46" t="s">
        <v>758</v>
      </c>
      <c r="Q143" s="62" t="s">
        <v>759</v>
      </c>
      <c r="R143" s="33" t="s">
        <v>760</v>
      </c>
      <c r="S143" s="45">
        <f t="shared" si="36"/>
        <v>6239639.9900000002</v>
      </c>
      <c r="T143" s="45">
        <f>6333000-93360.01</f>
        <v>6239639.9900000002</v>
      </c>
      <c r="U143" s="45">
        <v>0</v>
      </c>
      <c r="V143" s="67" t="s">
        <v>761</v>
      </c>
      <c r="W143" s="47" t="s">
        <v>762</v>
      </c>
      <c r="X143" s="48"/>
      <c r="Y143" s="109" t="s">
        <v>234</v>
      </c>
      <c r="Z143" s="45"/>
      <c r="AA143" s="45"/>
      <c r="AB143" s="45">
        <f t="shared" si="29"/>
        <v>0</v>
      </c>
      <c r="AC143" s="48"/>
      <c r="AD143" s="63"/>
      <c r="AE143" s="51">
        <f t="shared" si="37"/>
        <v>0</v>
      </c>
      <c r="AF143" s="52">
        <f t="shared" si="38"/>
        <v>0</v>
      </c>
      <c r="AG143" s="52">
        <f>6239640-0.01</f>
        <v>6239639.9900000002</v>
      </c>
      <c r="AH143" s="52">
        <f>1871892+732431.26+2306811.04+1328505.69</f>
        <v>6239639.9900000002</v>
      </c>
      <c r="AI143" s="52">
        <f t="shared" si="34"/>
        <v>0</v>
      </c>
      <c r="AJ143" s="124">
        <v>0</v>
      </c>
      <c r="AK143" s="45">
        <v>0</v>
      </c>
      <c r="AL143" s="52">
        <f t="shared" si="30"/>
        <v>0</v>
      </c>
      <c r="AM143" s="52">
        <f t="shared" si="31"/>
        <v>6239639.9900000002</v>
      </c>
      <c r="AN143" s="51">
        <f t="shared" si="32"/>
        <v>6239639.9900000002</v>
      </c>
      <c r="AO143" s="51">
        <f t="shared" si="33"/>
        <v>0</v>
      </c>
      <c r="AP143" s="125" t="s">
        <v>71</v>
      </c>
      <c r="AQ143" s="52">
        <v>1613700</v>
      </c>
      <c r="AR143" s="51">
        <f>806850+806850</f>
        <v>1613700</v>
      </c>
      <c r="AS143" s="51">
        <f t="shared" si="39"/>
        <v>0</v>
      </c>
      <c r="AT143" s="126">
        <f t="shared" si="35"/>
        <v>0</v>
      </c>
      <c r="AU143" s="48"/>
      <c r="AV143" s="46"/>
    </row>
    <row r="144" spans="1:48" ht="33" hidden="1" x14ac:dyDescent="0.2">
      <c r="A144" s="32">
        <v>639</v>
      </c>
      <c r="B144" s="105" t="s">
        <v>768</v>
      </c>
      <c r="C144" s="106"/>
      <c r="D144" s="107">
        <v>372</v>
      </c>
      <c r="E144" s="36" t="s">
        <v>769</v>
      </c>
      <c r="F144" s="36"/>
      <c r="G144" s="36"/>
      <c r="H144" s="33" t="s">
        <v>209</v>
      </c>
      <c r="I144" s="107">
        <v>6222</v>
      </c>
      <c r="J144" s="107"/>
      <c r="K144" s="39">
        <v>2.2999999999999998</v>
      </c>
      <c r="L144" s="40" t="s">
        <v>210</v>
      </c>
      <c r="M144" s="69" t="s">
        <v>75</v>
      </c>
      <c r="N144" s="42" t="s">
        <v>76</v>
      </c>
      <c r="O144" s="41" t="s">
        <v>77</v>
      </c>
      <c r="P144" s="46" t="s">
        <v>380</v>
      </c>
      <c r="Q144" s="62" t="s">
        <v>770</v>
      </c>
      <c r="R144" s="33" t="s">
        <v>771</v>
      </c>
      <c r="S144" s="45">
        <f t="shared" si="36"/>
        <v>886879.99</v>
      </c>
      <c r="T144" s="45">
        <v>886879.99</v>
      </c>
      <c r="U144" s="45">
        <v>0</v>
      </c>
      <c r="V144" s="109" t="s">
        <v>727</v>
      </c>
      <c r="W144" s="63">
        <v>41870</v>
      </c>
      <c r="X144" s="48"/>
      <c r="Y144" s="109" t="s">
        <v>101</v>
      </c>
      <c r="Z144" s="45"/>
      <c r="AA144" s="45"/>
      <c r="AB144" s="45">
        <f t="shared" si="29"/>
        <v>0</v>
      </c>
      <c r="AC144" s="48"/>
      <c r="AD144" s="63"/>
      <c r="AE144" s="51">
        <f t="shared" si="37"/>
        <v>0</v>
      </c>
      <c r="AF144" s="52">
        <f t="shared" si="38"/>
        <v>12105.239999999991</v>
      </c>
      <c r="AG144" s="52">
        <v>874774.75</v>
      </c>
      <c r="AH144" s="52">
        <f>262432.43+408623.07+142434.17+61285.07</f>
        <v>874774.74</v>
      </c>
      <c r="AI144" s="52">
        <f t="shared" si="34"/>
        <v>1.0000000009313226E-2</v>
      </c>
      <c r="AJ144" s="124">
        <v>0</v>
      </c>
      <c r="AK144" s="45">
        <v>0</v>
      </c>
      <c r="AL144" s="52">
        <f t="shared" si="30"/>
        <v>0</v>
      </c>
      <c r="AM144" s="52">
        <f t="shared" si="31"/>
        <v>874774.75</v>
      </c>
      <c r="AN144" s="51">
        <f t="shared" si="32"/>
        <v>874774.74</v>
      </c>
      <c r="AO144" s="51">
        <f t="shared" si="33"/>
        <v>1.0000000009313226E-2</v>
      </c>
      <c r="AP144" s="125" t="s">
        <v>205</v>
      </c>
      <c r="AQ144" s="52">
        <v>226234.85</v>
      </c>
      <c r="AR144" s="51">
        <f>150969.12+52623.47+22642.26</f>
        <v>226234.85</v>
      </c>
      <c r="AS144" s="51">
        <f t="shared" si="39"/>
        <v>0</v>
      </c>
      <c r="AT144" s="126">
        <f t="shared" si="35"/>
        <v>12105.25</v>
      </c>
      <c r="AU144" s="48"/>
      <c r="AV144" s="46"/>
    </row>
    <row r="145" spans="1:48" ht="24.75" hidden="1" x14ac:dyDescent="0.2">
      <c r="A145" s="32">
        <v>639</v>
      </c>
      <c r="B145" s="105" t="s">
        <v>772</v>
      </c>
      <c r="C145" s="106"/>
      <c r="D145" s="107">
        <v>374</v>
      </c>
      <c r="E145" s="36" t="s">
        <v>773</v>
      </c>
      <c r="F145" s="36"/>
      <c r="G145" s="36"/>
      <c r="H145" s="33" t="s">
        <v>209</v>
      </c>
      <c r="I145" s="107">
        <v>6222</v>
      </c>
      <c r="J145" s="107"/>
      <c r="K145" s="39">
        <v>2.2999999999999998</v>
      </c>
      <c r="L145" s="40" t="s">
        <v>210</v>
      </c>
      <c r="M145" s="69" t="s">
        <v>75</v>
      </c>
      <c r="N145" s="42" t="s">
        <v>63</v>
      </c>
      <c r="O145" s="41" t="s">
        <v>77</v>
      </c>
      <c r="P145" s="46" t="s">
        <v>167</v>
      </c>
      <c r="Q145" s="62" t="s">
        <v>774</v>
      </c>
      <c r="R145" s="33" t="s">
        <v>775</v>
      </c>
      <c r="S145" s="45">
        <f t="shared" si="36"/>
        <v>746573.88</v>
      </c>
      <c r="T145" s="45">
        <v>746573.88</v>
      </c>
      <c r="U145" s="45">
        <v>0</v>
      </c>
      <c r="V145" s="109" t="s">
        <v>727</v>
      </c>
      <c r="W145" s="63">
        <v>41870</v>
      </c>
      <c r="X145" s="48"/>
      <c r="Y145" s="109" t="s">
        <v>101</v>
      </c>
      <c r="Z145" s="45"/>
      <c r="AA145" s="45"/>
      <c r="AB145" s="45">
        <f t="shared" si="29"/>
        <v>0</v>
      </c>
      <c r="AC145" s="48"/>
      <c r="AD145" s="63"/>
      <c r="AE145" s="51">
        <f t="shared" si="37"/>
        <v>0</v>
      </c>
      <c r="AF145" s="52">
        <f t="shared" si="38"/>
        <v>9098.7299999999814</v>
      </c>
      <c r="AG145" s="52">
        <v>737475.15</v>
      </c>
      <c r="AH145" s="52">
        <f>221242.54+400732.67+115499.94</f>
        <v>737475.14999999991</v>
      </c>
      <c r="AI145" s="52">
        <f t="shared" si="34"/>
        <v>1.1641532182693481E-10</v>
      </c>
      <c r="AJ145" s="124">
        <v>0</v>
      </c>
      <c r="AK145" s="45">
        <v>0</v>
      </c>
      <c r="AL145" s="52">
        <f t="shared" si="30"/>
        <v>0</v>
      </c>
      <c r="AM145" s="52">
        <f t="shared" si="31"/>
        <v>737475.15</v>
      </c>
      <c r="AN145" s="51">
        <f t="shared" si="32"/>
        <v>737475.14999999991</v>
      </c>
      <c r="AO145" s="51">
        <f t="shared" si="33"/>
        <v>0</v>
      </c>
      <c r="AP145" s="125" t="s">
        <v>205</v>
      </c>
      <c r="AQ145" s="52">
        <v>190726.33</v>
      </c>
      <c r="AR145" s="51">
        <f>148053.95+42672.38</f>
        <v>190726.33000000002</v>
      </c>
      <c r="AS145" s="51">
        <f t="shared" si="39"/>
        <v>-2.9103830456733704E-11</v>
      </c>
      <c r="AT145" s="126">
        <f t="shared" si="35"/>
        <v>9098.7300000000978</v>
      </c>
      <c r="AU145" s="48"/>
      <c r="AV145" s="46"/>
    </row>
    <row r="146" spans="1:48" ht="27" hidden="1" x14ac:dyDescent="0.2">
      <c r="A146" s="32">
        <v>636</v>
      </c>
      <c r="B146" s="127" t="s">
        <v>776</v>
      </c>
      <c r="C146" s="128"/>
      <c r="D146" s="107">
        <v>396</v>
      </c>
      <c r="E146" s="82" t="s">
        <v>777</v>
      </c>
      <c r="F146" s="82"/>
      <c r="G146" s="82"/>
      <c r="H146" s="33" t="s">
        <v>778</v>
      </c>
      <c r="I146" s="119">
        <v>6225</v>
      </c>
      <c r="J146" s="119">
        <v>3</v>
      </c>
      <c r="K146" s="39">
        <v>3.2</v>
      </c>
      <c r="L146" s="118" t="s">
        <v>779</v>
      </c>
      <c r="M146" s="69" t="s">
        <v>366</v>
      </c>
      <c r="N146" s="42" t="s">
        <v>76</v>
      </c>
      <c r="O146" s="62" t="s">
        <v>228</v>
      </c>
      <c r="P146" s="46" t="s">
        <v>238</v>
      </c>
      <c r="Q146" s="62" t="s">
        <v>780</v>
      </c>
      <c r="R146" s="33" t="s">
        <v>781</v>
      </c>
      <c r="S146" s="45">
        <f t="shared" si="36"/>
        <v>2947560</v>
      </c>
      <c r="T146" s="45">
        <f>3000000-52440</f>
        <v>2947560</v>
      </c>
      <c r="U146" s="45">
        <v>0</v>
      </c>
      <c r="V146" s="109" t="s">
        <v>782</v>
      </c>
      <c r="W146" s="63">
        <v>41926</v>
      </c>
      <c r="X146" s="48"/>
      <c r="Y146" s="109" t="s">
        <v>101</v>
      </c>
      <c r="Z146" s="45"/>
      <c r="AA146" s="45"/>
      <c r="AB146" s="45">
        <f t="shared" si="29"/>
        <v>0</v>
      </c>
      <c r="AC146" s="48"/>
      <c r="AD146" s="63"/>
      <c r="AE146" s="51">
        <f t="shared" si="37"/>
        <v>0</v>
      </c>
      <c r="AF146" s="52">
        <f t="shared" si="38"/>
        <v>0</v>
      </c>
      <c r="AG146" s="52">
        <v>2947560</v>
      </c>
      <c r="AH146" s="52">
        <f>884268+1854409.83+208882.17</f>
        <v>2947560</v>
      </c>
      <c r="AI146" s="52">
        <f t="shared" si="34"/>
        <v>0</v>
      </c>
      <c r="AJ146" s="124">
        <v>0</v>
      </c>
      <c r="AK146" s="45">
        <v>0</v>
      </c>
      <c r="AL146" s="52">
        <f t="shared" si="30"/>
        <v>0</v>
      </c>
      <c r="AM146" s="52">
        <f t="shared" si="31"/>
        <v>2947560</v>
      </c>
      <c r="AN146" s="51">
        <f t="shared" si="32"/>
        <v>2947560</v>
      </c>
      <c r="AO146" s="51">
        <f t="shared" si="33"/>
        <v>0</v>
      </c>
      <c r="AP146" s="125"/>
      <c r="AQ146" s="52">
        <v>762300</v>
      </c>
      <c r="AR146" s="51">
        <f>685126.79+77173.21</f>
        <v>762300</v>
      </c>
      <c r="AS146" s="51">
        <f t="shared" si="39"/>
        <v>0</v>
      </c>
      <c r="AT146" s="126">
        <f t="shared" si="35"/>
        <v>0</v>
      </c>
      <c r="AU146" s="48"/>
      <c r="AV146" s="46" t="s">
        <v>783</v>
      </c>
    </row>
    <row r="147" spans="1:48" ht="27" hidden="1" x14ac:dyDescent="0.2">
      <c r="A147" s="32">
        <v>636</v>
      </c>
      <c r="B147" s="127" t="s">
        <v>784</v>
      </c>
      <c r="C147" s="119"/>
      <c r="D147" s="107">
        <v>393</v>
      </c>
      <c r="E147" s="92" t="s">
        <v>785</v>
      </c>
      <c r="F147" s="92"/>
      <c r="G147" s="92"/>
      <c r="H147" s="33" t="s">
        <v>778</v>
      </c>
      <c r="I147" s="119">
        <v>6227</v>
      </c>
      <c r="J147" s="119">
        <v>3</v>
      </c>
      <c r="K147" s="39">
        <v>3.2</v>
      </c>
      <c r="L147" s="118" t="s">
        <v>779</v>
      </c>
      <c r="M147" s="69" t="s">
        <v>366</v>
      </c>
      <c r="N147" s="42" t="s">
        <v>76</v>
      </c>
      <c r="O147" s="62" t="s">
        <v>228</v>
      </c>
      <c r="P147" s="46" t="s">
        <v>786</v>
      </c>
      <c r="Q147" s="62" t="s">
        <v>787</v>
      </c>
      <c r="R147" s="92" t="s">
        <v>788</v>
      </c>
      <c r="S147" s="45">
        <f t="shared" si="36"/>
        <v>3481985</v>
      </c>
      <c r="T147" s="45">
        <f>3500000-18015</f>
        <v>3481985</v>
      </c>
      <c r="U147" s="45">
        <v>0</v>
      </c>
      <c r="V147" s="109" t="s">
        <v>789</v>
      </c>
      <c r="W147" s="63">
        <v>41936</v>
      </c>
      <c r="X147" s="48"/>
      <c r="Y147" s="109" t="s">
        <v>101</v>
      </c>
      <c r="Z147" s="45"/>
      <c r="AA147" s="45"/>
      <c r="AB147" s="45">
        <f t="shared" si="29"/>
        <v>0</v>
      </c>
      <c r="AC147" s="48"/>
      <c r="AD147" s="63"/>
      <c r="AE147" s="51">
        <f t="shared" si="37"/>
        <v>0</v>
      </c>
      <c r="AF147" s="52">
        <f t="shared" si="38"/>
        <v>0</v>
      </c>
      <c r="AG147" s="52">
        <v>3481985</v>
      </c>
      <c r="AH147" s="52">
        <f>1044595.5+709028.89+653294.14+818529.13+256537.34</f>
        <v>3481985</v>
      </c>
      <c r="AI147" s="52">
        <f t="shared" si="34"/>
        <v>0</v>
      </c>
      <c r="AJ147" s="124">
        <v>0</v>
      </c>
      <c r="AK147" s="45">
        <v>0</v>
      </c>
      <c r="AL147" s="52">
        <f t="shared" si="30"/>
        <v>0</v>
      </c>
      <c r="AM147" s="52">
        <f t="shared" si="31"/>
        <v>3481985</v>
      </c>
      <c r="AN147" s="51">
        <f t="shared" si="32"/>
        <v>3481985</v>
      </c>
      <c r="AO147" s="51">
        <f t="shared" si="33"/>
        <v>0</v>
      </c>
      <c r="AP147" s="125"/>
      <c r="AQ147" s="52">
        <v>900513.36</v>
      </c>
      <c r="AR147" s="51">
        <f>261956.48+241364.83+302412.24+94779.81</f>
        <v>900513.3600000001</v>
      </c>
      <c r="AS147" s="51">
        <f t="shared" si="39"/>
        <v>-1.1641532182693481E-10</v>
      </c>
      <c r="AT147" s="126">
        <f t="shared" si="35"/>
        <v>0</v>
      </c>
      <c r="AU147" s="48"/>
      <c r="AV147" s="46" t="s">
        <v>783</v>
      </c>
    </row>
    <row r="148" spans="1:48" ht="49.5" hidden="1" x14ac:dyDescent="0.2">
      <c r="A148" s="32">
        <v>639</v>
      </c>
      <c r="B148" s="105" t="s">
        <v>790</v>
      </c>
      <c r="C148" s="106"/>
      <c r="D148" s="107">
        <v>406</v>
      </c>
      <c r="E148" s="67" t="s">
        <v>791</v>
      </c>
      <c r="F148" s="67"/>
      <c r="G148" s="67"/>
      <c r="H148" s="33" t="s">
        <v>209</v>
      </c>
      <c r="I148" s="107">
        <v>6222</v>
      </c>
      <c r="J148" s="107"/>
      <c r="K148" s="39">
        <v>2.2999999999999998</v>
      </c>
      <c r="L148" s="40" t="s">
        <v>210</v>
      </c>
      <c r="M148" s="69" t="s">
        <v>75</v>
      </c>
      <c r="N148" s="42" t="s">
        <v>76</v>
      </c>
      <c r="O148" s="41" t="s">
        <v>77</v>
      </c>
      <c r="P148" s="46" t="s">
        <v>792</v>
      </c>
      <c r="Q148" s="62" t="s">
        <v>793</v>
      </c>
      <c r="R148" s="33" t="s">
        <v>794</v>
      </c>
      <c r="S148" s="45">
        <f t="shared" si="36"/>
        <v>806120</v>
      </c>
      <c r="T148" s="45">
        <v>806120</v>
      </c>
      <c r="U148" s="45">
        <v>0</v>
      </c>
      <c r="V148" s="109" t="s">
        <v>677</v>
      </c>
      <c r="W148" s="63">
        <v>41870</v>
      </c>
      <c r="X148" s="48"/>
      <c r="Y148" s="109" t="s">
        <v>101</v>
      </c>
      <c r="Z148" s="45"/>
      <c r="AA148" s="45"/>
      <c r="AB148" s="45">
        <f t="shared" si="29"/>
        <v>0</v>
      </c>
      <c r="AC148" s="48"/>
      <c r="AD148" s="63"/>
      <c r="AE148" s="51">
        <f t="shared" si="37"/>
        <v>0</v>
      </c>
      <c r="AF148" s="52">
        <f t="shared" si="38"/>
        <v>4162.9399999999441</v>
      </c>
      <c r="AG148" s="52">
        <v>801957.06</v>
      </c>
      <c r="AH148" s="52">
        <f>240587.12+241188.44+320181.49</f>
        <v>801957.05</v>
      </c>
      <c r="AI148" s="52">
        <f t="shared" si="34"/>
        <v>1.0000000009313226E-2</v>
      </c>
      <c r="AJ148" s="124">
        <v>0</v>
      </c>
      <c r="AK148" s="45">
        <v>0</v>
      </c>
      <c r="AL148" s="52">
        <f t="shared" si="30"/>
        <v>0</v>
      </c>
      <c r="AM148" s="52">
        <f t="shared" si="31"/>
        <v>801957.06</v>
      </c>
      <c r="AN148" s="51">
        <f t="shared" si="32"/>
        <v>801957.05</v>
      </c>
      <c r="AO148" s="51">
        <f t="shared" si="33"/>
        <v>1.0000000009313226E-2</v>
      </c>
      <c r="AP148" s="125" t="s">
        <v>767</v>
      </c>
      <c r="AQ148" s="52">
        <v>207402.69</v>
      </c>
      <c r="AR148" s="51">
        <f>89109.03+118293.66</f>
        <v>207402.69</v>
      </c>
      <c r="AS148" s="51">
        <f t="shared" si="39"/>
        <v>0</v>
      </c>
      <c r="AT148" s="126">
        <f t="shared" si="35"/>
        <v>4162.9499999999534</v>
      </c>
      <c r="AU148" s="48"/>
      <c r="AV148" s="46"/>
    </row>
    <row r="149" spans="1:48" ht="27" hidden="1" x14ac:dyDescent="0.2">
      <c r="A149" s="32">
        <v>636</v>
      </c>
      <c r="B149" s="259" t="s">
        <v>795</v>
      </c>
      <c r="C149" s="119"/>
      <c r="D149" s="262">
        <v>398</v>
      </c>
      <c r="E149" s="253" t="s">
        <v>796</v>
      </c>
      <c r="F149" s="82"/>
      <c r="G149" s="82"/>
      <c r="H149" s="33" t="s">
        <v>778</v>
      </c>
      <c r="I149" s="265">
        <v>6227</v>
      </c>
      <c r="J149" s="119">
        <v>3</v>
      </c>
      <c r="K149" s="39">
        <v>3.2</v>
      </c>
      <c r="L149" s="118" t="s">
        <v>797</v>
      </c>
      <c r="M149" s="69" t="s">
        <v>366</v>
      </c>
      <c r="N149" s="42" t="s">
        <v>76</v>
      </c>
      <c r="O149" s="62" t="s">
        <v>228</v>
      </c>
      <c r="P149" s="46" t="s">
        <v>65</v>
      </c>
      <c r="Q149" s="62" t="s">
        <v>798</v>
      </c>
      <c r="R149" s="256" t="s">
        <v>799</v>
      </c>
      <c r="S149" s="45">
        <f t="shared" si="36"/>
        <v>7418059.4699999997</v>
      </c>
      <c r="T149" s="45">
        <f>8000000-581940.53</f>
        <v>7418059.4699999997</v>
      </c>
      <c r="U149" s="45">
        <v>0</v>
      </c>
      <c r="V149" s="109" t="s">
        <v>782</v>
      </c>
      <c r="W149" s="63">
        <v>41926</v>
      </c>
      <c r="X149" s="48"/>
      <c r="Y149" s="109" t="s">
        <v>101</v>
      </c>
      <c r="Z149" s="45"/>
      <c r="AA149" s="45"/>
      <c r="AB149" s="45">
        <f t="shared" si="29"/>
        <v>0</v>
      </c>
      <c r="AC149" s="48"/>
      <c r="AD149" s="63" t="s">
        <v>27</v>
      </c>
      <c r="AE149" s="51">
        <f t="shared" si="37"/>
        <v>0</v>
      </c>
      <c r="AF149" s="52">
        <f t="shared" si="38"/>
        <v>0</v>
      </c>
      <c r="AG149" s="52">
        <v>7418059.4699999997</v>
      </c>
      <c r="AH149" s="52">
        <f>3709029.74+3104737.74+604291.99</f>
        <v>7418059.4700000007</v>
      </c>
      <c r="AI149" s="52">
        <f t="shared" si="34"/>
        <v>-9.3132257461547852E-10</v>
      </c>
      <c r="AJ149" s="124">
        <v>0</v>
      </c>
      <c r="AK149" s="45">
        <v>0</v>
      </c>
      <c r="AL149" s="52">
        <f t="shared" si="30"/>
        <v>0</v>
      </c>
      <c r="AM149" s="52">
        <f t="shared" si="31"/>
        <v>7418059.4699999997</v>
      </c>
      <c r="AN149" s="51">
        <f t="shared" si="32"/>
        <v>7418059.4700000007</v>
      </c>
      <c r="AO149" s="51">
        <f t="shared" si="33"/>
        <v>0</v>
      </c>
      <c r="AP149" s="125" t="s">
        <v>205</v>
      </c>
      <c r="AQ149" s="52">
        <v>3197439.43</v>
      </c>
      <c r="AR149" s="51">
        <f>2676498.06+520941.37</f>
        <v>3197439.43</v>
      </c>
      <c r="AS149" s="51">
        <f t="shared" si="39"/>
        <v>0</v>
      </c>
      <c r="AT149" s="126">
        <f t="shared" si="35"/>
        <v>-9.3132257461547852E-10</v>
      </c>
      <c r="AU149" s="48"/>
      <c r="AV149" s="46" t="s">
        <v>783</v>
      </c>
    </row>
    <row r="150" spans="1:48" ht="24.75" hidden="1" x14ac:dyDescent="0.2">
      <c r="A150" s="32">
        <v>636</v>
      </c>
      <c r="B150" s="261"/>
      <c r="C150" s="116"/>
      <c r="D150" s="264"/>
      <c r="E150" s="255"/>
      <c r="F150" s="36"/>
      <c r="G150" s="36"/>
      <c r="H150" s="46" t="s">
        <v>800</v>
      </c>
      <c r="I150" s="266"/>
      <c r="J150" s="116">
        <v>3</v>
      </c>
      <c r="K150" s="39">
        <v>2</v>
      </c>
      <c r="L150" s="40" t="s">
        <v>61</v>
      </c>
      <c r="M150" s="69" t="s">
        <v>366</v>
      </c>
      <c r="N150" s="42" t="s">
        <v>76</v>
      </c>
      <c r="O150" s="62" t="s">
        <v>228</v>
      </c>
      <c r="P150" s="46" t="s">
        <v>65</v>
      </c>
      <c r="Q150" s="62" t="s">
        <v>798</v>
      </c>
      <c r="R150" s="258"/>
      <c r="S150" s="45">
        <f t="shared" si="36"/>
        <v>7418059.4699999997</v>
      </c>
      <c r="T150" s="45">
        <f>8000000-581940.53</f>
        <v>7418059.4699999997</v>
      </c>
      <c r="U150" s="45">
        <v>0</v>
      </c>
      <c r="V150" s="109" t="s">
        <v>782</v>
      </c>
      <c r="W150" s="63">
        <v>41926</v>
      </c>
      <c r="X150" s="48"/>
      <c r="Y150" s="109" t="s">
        <v>101</v>
      </c>
      <c r="Z150" s="45"/>
      <c r="AA150" s="45"/>
      <c r="AB150" s="45">
        <f t="shared" si="29"/>
        <v>0</v>
      </c>
      <c r="AC150" s="48"/>
      <c r="AD150" s="63"/>
      <c r="AE150" s="51">
        <f t="shared" si="37"/>
        <v>0</v>
      </c>
      <c r="AF150" s="52">
        <f t="shared" si="38"/>
        <v>0</v>
      </c>
      <c r="AG150" s="52">
        <v>7418059.4699999997</v>
      </c>
      <c r="AH150" s="52">
        <f>3709029.73+3104737.74+604292</f>
        <v>7418059.4700000007</v>
      </c>
      <c r="AI150" s="52">
        <f t="shared" si="34"/>
        <v>-9.3132257461547852E-10</v>
      </c>
      <c r="AJ150" s="124">
        <v>0</v>
      </c>
      <c r="AK150" s="45">
        <v>0</v>
      </c>
      <c r="AL150" s="52">
        <f t="shared" si="30"/>
        <v>0</v>
      </c>
      <c r="AM150" s="52">
        <f t="shared" si="31"/>
        <v>7418059.4699999997</v>
      </c>
      <c r="AN150" s="51">
        <f t="shared" si="32"/>
        <v>7418059.4700000007</v>
      </c>
      <c r="AO150" s="51">
        <f t="shared" si="33"/>
        <v>0</v>
      </c>
      <c r="AP150" s="125" t="s">
        <v>205</v>
      </c>
      <c r="AQ150" s="52">
        <v>3197439.42</v>
      </c>
      <c r="AR150" s="51">
        <f>2676498.05+520941.38</f>
        <v>3197439.4299999997</v>
      </c>
      <c r="AS150" s="51">
        <f t="shared" si="39"/>
        <v>-9.9999997764825821E-3</v>
      </c>
      <c r="AT150" s="126">
        <f t="shared" si="35"/>
        <v>-9.3132257461547852E-10</v>
      </c>
      <c r="AU150" s="48" t="s">
        <v>27</v>
      </c>
      <c r="AV150" s="46" t="s">
        <v>801</v>
      </c>
    </row>
    <row r="151" spans="1:48" ht="41.25" hidden="1" x14ac:dyDescent="0.2">
      <c r="A151" s="32">
        <v>639</v>
      </c>
      <c r="B151" s="105" t="s">
        <v>802</v>
      </c>
      <c r="C151" s="106"/>
      <c r="D151" s="107">
        <v>352</v>
      </c>
      <c r="E151" s="36" t="s">
        <v>803</v>
      </c>
      <c r="F151" s="36"/>
      <c r="G151" s="36"/>
      <c r="H151" s="33" t="s">
        <v>209</v>
      </c>
      <c r="I151" s="107">
        <v>6222</v>
      </c>
      <c r="J151" s="107"/>
      <c r="K151" s="39">
        <v>2.2999999999999998</v>
      </c>
      <c r="L151" s="40" t="s">
        <v>210</v>
      </c>
      <c r="M151" s="69" t="s">
        <v>75</v>
      </c>
      <c r="N151" s="42" t="s">
        <v>63</v>
      </c>
      <c r="O151" s="41" t="s">
        <v>77</v>
      </c>
      <c r="P151" s="46" t="s">
        <v>804</v>
      </c>
      <c r="Q151" s="62" t="s">
        <v>805</v>
      </c>
      <c r="R151" s="33" t="s">
        <v>806</v>
      </c>
      <c r="S151" s="45">
        <f t="shared" si="36"/>
        <v>710590.07</v>
      </c>
      <c r="T151" s="45">
        <v>710590.07</v>
      </c>
      <c r="U151" s="45">
        <v>0</v>
      </c>
      <c r="V151" s="109" t="s">
        <v>740</v>
      </c>
      <c r="W151" s="63">
        <v>41866</v>
      </c>
      <c r="X151" s="48"/>
      <c r="Y151" s="109" t="s">
        <v>101</v>
      </c>
      <c r="Z151" s="45"/>
      <c r="AA151" s="45"/>
      <c r="AB151" s="45">
        <f t="shared" si="29"/>
        <v>0</v>
      </c>
      <c r="AC151" s="48"/>
      <c r="AD151" s="63"/>
      <c r="AE151" s="51">
        <f t="shared" si="37"/>
        <v>0</v>
      </c>
      <c r="AF151" s="52">
        <f t="shared" si="38"/>
        <v>2320.0099999998929</v>
      </c>
      <c r="AG151" s="52">
        <v>708270.06</v>
      </c>
      <c r="AH151" s="52">
        <f>212481.02+275488.61+144224.69+76075.74</f>
        <v>708270.06</v>
      </c>
      <c r="AI151" s="52">
        <f t="shared" si="34"/>
        <v>0</v>
      </c>
      <c r="AJ151" s="124">
        <v>0</v>
      </c>
      <c r="AK151" s="45">
        <v>0</v>
      </c>
      <c r="AL151" s="52">
        <f t="shared" si="30"/>
        <v>0</v>
      </c>
      <c r="AM151" s="52">
        <f t="shared" si="31"/>
        <v>708270.06</v>
      </c>
      <c r="AN151" s="51">
        <f t="shared" si="32"/>
        <v>708270.06</v>
      </c>
      <c r="AO151" s="51">
        <f t="shared" si="33"/>
        <v>0</v>
      </c>
      <c r="AP151" s="125" t="s">
        <v>83</v>
      </c>
      <c r="AQ151" s="52">
        <v>183173.29</v>
      </c>
      <c r="AR151" s="51">
        <f>101781.5+53284.99+28106.8</f>
        <v>183173.28999999998</v>
      </c>
      <c r="AS151" s="51">
        <f t="shared" si="39"/>
        <v>2.9103830456733704E-11</v>
      </c>
      <c r="AT151" s="126">
        <f t="shared" si="35"/>
        <v>2320.0099999998929</v>
      </c>
      <c r="AU151" s="48"/>
      <c r="AV151" s="46"/>
    </row>
    <row r="152" spans="1:48" ht="27" hidden="1" x14ac:dyDescent="0.2">
      <c r="A152" s="32">
        <v>636</v>
      </c>
      <c r="B152" s="105" t="s">
        <v>807</v>
      </c>
      <c r="C152" s="106"/>
      <c r="D152" s="107">
        <v>395</v>
      </c>
      <c r="E152" s="36" t="s">
        <v>808</v>
      </c>
      <c r="F152" s="36"/>
      <c r="G152" s="36"/>
      <c r="H152" s="33" t="s">
        <v>809</v>
      </c>
      <c r="I152" s="107">
        <v>6132</v>
      </c>
      <c r="J152" s="107"/>
      <c r="K152" s="39">
        <v>3</v>
      </c>
      <c r="L152" s="118" t="s">
        <v>810</v>
      </c>
      <c r="M152" s="69" t="s">
        <v>117</v>
      </c>
      <c r="N152" s="62" t="s">
        <v>811</v>
      </c>
      <c r="O152" s="62" t="s">
        <v>812</v>
      </c>
      <c r="P152" s="46" t="s">
        <v>518</v>
      </c>
      <c r="Q152" s="62" t="s">
        <v>99</v>
      </c>
      <c r="R152" s="33" t="s">
        <v>813</v>
      </c>
      <c r="S152" s="45">
        <f t="shared" si="36"/>
        <v>210000</v>
      </c>
      <c r="T152" s="45">
        <v>210000</v>
      </c>
      <c r="U152" s="45">
        <v>0</v>
      </c>
      <c r="V152" s="109" t="s">
        <v>814</v>
      </c>
      <c r="W152" s="63">
        <v>41871</v>
      </c>
      <c r="X152" s="48"/>
      <c r="Y152" s="109" t="s">
        <v>101</v>
      </c>
      <c r="Z152" s="45"/>
      <c r="AA152" s="45"/>
      <c r="AB152" s="45">
        <f t="shared" si="29"/>
        <v>0</v>
      </c>
      <c r="AC152" s="48"/>
      <c r="AD152" s="63"/>
      <c r="AE152" s="51">
        <f t="shared" si="37"/>
        <v>0</v>
      </c>
      <c r="AF152" s="52">
        <f t="shared" si="38"/>
        <v>4490.0400000000081</v>
      </c>
      <c r="AG152" s="52">
        <v>205509.96</v>
      </c>
      <c r="AH152" s="52">
        <f>61652.99+143856.97</f>
        <v>205509.96</v>
      </c>
      <c r="AI152" s="52">
        <f t="shared" si="34"/>
        <v>0</v>
      </c>
      <c r="AJ152" s="124">
        <v>0</v>
      </c>
      <c r="AK152" s="45">
        <v>0</v>
      </c>
      <c r="AL152" s="52">
        <f t="shared" si="30"/>
        <v>0</v>
      </c>
      <c r="AM152" s="52">
        <f t="shared" si="31"/>
        <v>205509.96</v>
      </c>
      <c r="AN152" s="51">
        <f t="shared" si="32"/>
        <v>205509.96</v>
      </c>
      <c r="AO152" s="51">
        <f t="shared" si="33"/>
        <v>0</v>
      </c>
      <c r="AP152" s="125" t="s">
        <v>105</v>
      </c>
      <c r="AQ152" s="52">
        <v>53149.13</v>
      </c>
      <c r="AR152" s="51">
        <v>53149.13</v>
      </c>
      <c r="AS152" s="51">
        <f t="shared" si="39"/>
        <v>0</v>
      </c>
      <c r="AT152" s="126">
        <f t="shared" si="35"/>
        <v>4490.0400000000081</v>
      </c>
      <c r="AU152" s="48"/>
      <c r="AV152" s="46"/>
    </row>
    <row r="153" spans="1:48" ht="24.75" hidden="1" x14ac:dyDescent="0.2">
      <c r="A153" s="32">
        <v>639</v>
      </c>
      <c r="B153" s="105" t="s">
        <v>815</v>
      </c>
      <c r="C153" s="106"/>
      <c r="D153" s="107">
        <v>407</v>
      </c>
      <c r="E153" s="36" t="s">
        <v>816</v>
      </c>
      <c r="F153" s="36"/>
      <c r="G153" s="36"/>
      <c r="H153" s="33" t="s">
        <v>209</v>
      </c>
      <c r="I153" s="107">
        <v>6222</v>
      </c>
      <c r="J153" s="107"/>
      <c r="K153" s="39">
        <v>2.2999999999999998</v>
      </c>
      <c r="L153" s="40" t="s">
        <v>210</v>
      </c>
      <c r="M153" s="69" t="s">
        <v>75</v>
      </c>
      <c r="N153" s="42" t="s">
        <v>76</v>
      </c>
      <c r="O153" s="41" t="s">
        <v>77</v>
      </c>
      <c r="P153" s="46" t="s">
        <v>443</v>
      </c>
      <c r="Q153" s="62" t="s">
        <v>817</v>
      </c>
      <c r="R153" s="33" t="s">
        <v>818</v>
      </c>
      <c r="S153" s="45">
        <f t="shared" si="36"/>
        <v>1420000</v>
      </c>
      <c r="T153" s="45">
        <v>1420000</v>
      </c>
      <c r="U153" s="45">
        <v>0</v>
      </c>
      <c r="V153" s="109" t="s">
        <v>677</v>
      </c>
      <c r="W153" s="63">
        <v>41870</v>
      </c>
      <c r="X153" s="48"/>
      <c r="Y153" s="109" t="s">
        <v>101</v>
      </c>
      <c r="Z153" s="45"/>
      <c r="AA153" s="45"/>
      <c r="AB153" s="45">
        <f t="shared" si="29"/>
        <v>0</v>
      </c>
      <c r="AC153" s="48"/>
      <c r="AD153" s="63"/>
      <c r="AE153" s="51">
        <f t="shared" si="37"/>
        <v>0</v>
      </c>
      <c r="AF153" s="52">
        <f t="shared" si="38"/>
        <v>16109.969999999972</v>
      </c>
      <c r="AG153" s="52">
        <v>1403890.03</v>
      </c>
      <c r="AH153" s="52">
        <f>421167.01+359816.27+82990.78+539915.97</f>
        <v>1403890.03</v>
      </c>
      <c r="AI153" s="52">
        <f t="shared" si="34"/>
        <v>0</v>
      </c>
      <c r="AJ153" s="124">
        <v>0</v>
      </c>
      <c r="AK153" s="45">
        <v>0</v>
      </c>
      <c r="AL153" s="52">
        <f t="shared" si="30"/>
        <v>0</v>
      </c>
      <c r="AM153" s="52">
        <f t="shared" si="31"/>
        <v>1403890.03</v>
      </c>
      <c r="AN153" s="51">
        <f t="shared" si="32"/>
        <v>1403890.03</v>
      </c>
      <c r="AO153" s="51">
        <f t="shared" si="33"/>
        <v>0</v>
      </c>
      <c r="AP153" s="125" t="s">
        <v>688</v>
      </c>
      <c r="AQ153" s="52">
        <v>363075.01</v>
      </c>
      <c r="AR153" s="51">
        <f>132937.04+30661.62+199476.35</f>
        <v>363075.01</v>
      </c>
      <c r="AS153" s="51">
        <f t="shared" si="39"/>
        <v>0</v>
      </c>
      <c r="AT153" s="126">
        <f t="shared" si="35"/>
        <v>16109.969999999972</v>
      </c>
      <c r="AU153" s="48"/>
      <c r="AV153" s="46"/>
    </row>
    <row r="154" spans="1:48" ht="24.75" hidden="1" x14ac:dyDescent="0.2">
      <c r="A154" s="32">
        <v>639</v>
      </c>
      <c r="B154" s="105" t="s">
        <v>819</v>
      </c>
      <c r="C154" s="106"/>
      <c r="D154" s="107">
        <v>408</v>
      </c>
      <c r="E154" s="36" t="s">
        <v>820</v>
      </c>
      <c r="F154" s="36"/>
      <c r="G154" s="36"/>
      <c r="H154" s="33" t="s">
        <v>209</v>
      </c>
      <c r="I154" s="107">
        <v>6222</v>
      </c>
      <c r="J154" s="107"/>
      <c r="K154" s="39">
        <v>2.2999999999999998</v>
      </c>
      <c r="L154" s="40" t="s">
        <v>210</v>
      </c>
      <c r="M154" s="69" t="s">
        <v>75</v>
      </c>
      <c r="N154" s="42" t="s">
        <v>76</v>
      </c>
      <c r="O154" s="41" t="s">
        <v>77</v>
      </c>
      <c r="P154" s="46" t="s">
        <v>821</v>
      </c>
      <c r="Q154" s="62" t="s">
        <v>822</v>
      </c>
      <c r="R154" s="33" t="s">
        <v>823</v>
      </c>
      <c r="S154" s="45">
        <f t="shared" si="36"/>
        <v>38280</v>
      </c>
      <c r="T154" s="45">
        <v>38280</v>
      </c>
      <c r="U154" s="45">
        <v>0</v>
      </c>
      <c r="V154" s="109" t="s">
        <v>677</v>
      </c>
      <c r="W154" s="63">
        <v>41870</v>
      </c>
      <c r="X154" s="48"/>
      <c r="Y154" s="109" t="s">
        <v>101</v>
      </c>
      <c r="Z154" s="45"/>
      <c r="AA154" s="45"/>
      <c r="AB154" s="45">
        <f t="shared" si="29"/>
        <v>0</v>
      </c>
      <c r="AC154" s="48"/>
      <c r="AD154" s="63"/>
      <c r="AE154" s="51">
        <f t="shared" si="37"/>
        <v>0</v>
      </c>
      <c r="AF154" s="52">
        <f t="shared" si="38"/>
        <v>580</v>
      </c>
      <c r="AG154" s="52">
        <v>37700</v>
      </c>
      <c r="AH154" s="52">
        <v>37700</v>
      </c>
      <c r="AI154" s="52">
        <f t="shared" si="34"/>
        <v>0</v>
      </c>
      <c r="AJ154" s="124">
        <v>0</v>
      </c>
      <c r="AK154" s="45">
        <v>0</v>
      </c>
      <c r="AL154" s="52">
        <f t="shared" si="30"/>
        <v>0</v>
      </c>
      <c r="AM154" s="52">
        <f t="shared" si="31"/>
        <v>37700</v>
      </c>
      <c r="AN154" s="51">
        <f t="shared" si="32"/>
        <v>37700</v>
      </c>
      <c r="AO154" s="51">
        <f t="shared" si="33"/>
        <v>0</v>
      </c>
      <c r="AP154" s="125" t="s">
        <v>146</v>
      </c>
      <c r="AQ154" s="52"/>
      <c r="AR154" s="51"/>
      <c r="AS154" s="51">
        <f t="shared" si="39"/>
        <v>0</v>
      </c>
      <c r="AT154" s="126">
        <f t="shared" si="35"/>
        <v>580</v>
      </c>
      <c r="AU154" s="48"/>
      <c r="AV154" s="46"/>
    </row>
    <row r="155" spans="1:48" ht="27" hidden="1" x14ac:dyDescent="0.2">
      <c r="A155" s="32">
        <v>636</v>
      </c>
      <c r="B155" s="105" t="s">
        <v>824</v>
      </c>
      <c r="C155" s="106"/>
      <c r="D155" s="107"/>
      <c r="E155" s="36" t="s">
        <v>825</v>
      </c>
      <c r="F155" s="36"/>
      <c r="G155" s="36"/>
      <c r="H155" s="33" t="s">
        <v>809</v>
      </c>
      <c r="I155" s="107">
        <v>6142</v>
      </c>
      <c r="J155" s="107"/>
      <c r="K155" s="39">
        <v>3</v>
      </c>
      <c r="L155" s="118" t="s">
        <v>810</v>
      </c>
      <c r="M155" s="69" t="s">
        <v>117</v>
      </c>
      <c r="N155" s="62" t="s">
        <v>811</v>
      </c>
      <c r="O155" s="62" t="s">
        <v>812</v>
      </c>
      <c r="P155" s="46" t="s">
        <v>518</v>
      </c>
      <c r="Q155" s="62" t="s">
        <v>826</v>
      </c>
      <c r="R155" s="33" t="s">
        <v>827</v>
      </c>
      <c r="S155" s="45">
        <f t="shared" si="36"/>
        <v>1230368.75</v>
      </c>
      <c r="T155" s="45">
        <v>1230368.75</v>
      </c>
      <c r="U155" s="45">
        <v>0</v>
      </c>
      <c r="V155" s="109" t="s">
        <v>814</v>
      </c>
      <c r="W155" s="63">
        <v>41871</v>
      </c>
      <c r="X155" s="48"/>
      <c r="Y155" s="109" t="s">
        <v>101</v>
      </c>
      <c r="Z155" s="45"/>
      <c r="AA155" s="45"/>
      <c r="AB155" s="45">
        <f t="shared" si="29"/>
        <v>0</v>
      </c>
      <c r="AC155" s="48"/>
      <c r="AD155" s="63"/>
      <c r="AE155" s="51">
        <f t="shared" si="37"/>
        <v>0</v>
      </c>
      <c r="AF155" s="52">
        <f t="shared" si="38"/>
        <v>13696.629999999888</v>
      </c>
      <c r="AG155" s="52">
        <v>1216672.1200000001</v>
      </c>
      <c r="AH155" s="52">
        <f>365001.63+851670.49</f>
        <v>1216672.1200000001</v>
      </c>
      <c r="AI155" s="52">
        <f t="shared" si="34"/>
        <v>0</v>
      </c>
      <c r="AJ155" s="124">
        <v>0</v>
      </c>
      <c r="AK155" s="45">
        <v>0</v>
      </c>
      <c r="AL155" s="52">
        <f t="shared" si="30"/>
        <v>0</v>
      </c>
      <c r="AM155" s="52">
        <f t="shared" si="31"/>
        <v>1216672.1200000001</v>
      </c>
      <c r="AN155" s="51">
        <f t="shared" si="32"/>
        <v>1216672.1200000001</v>
      </c>
      <c r="AO155" s="51">
        <f t="shared" si="33"/>
        <v>0</v>
      </c>
      <c r="AP155" s="125" t="s">
        <v>696</v>
      </c>
      <c r="AQ155" s="52">
        <v>314656.58</v>
      </c>
      <c r="AR155" s="51">
        <v>314656.58</v>
      </c>
      <c r="AS155" s="51">
        <f t="shared" si="39"/>
        <v>0</v>
      </c>
      <c r="AT155" s="126">
        <f t="shared" si="35"/>
        <v>13696.629999999888</v>
      </c>
      <c r="AU155" s="48"/>
      <c r="AV155" s="46"/>
    </row>
    <row r="156" spans="1:48" ht="41.25" hidden="1" x14ac:dyDescent="0.2">
      <c r="A156" s="32">
        <v>639</v>
      </c>
      <c r="B156" s="105" t="s">
        <v>828</v>
      </c>
      <c r="C156" s="106"/>
      <c r="D156" s="107">
        <v>385</v>
      </c>
      <c r="E156" s="36" t="s">
        <v>829</v>
      </c>
      <c r="F156" s="36"/>
      <c r="G156" s="36"/>
      <c r="H156" s="33" t="s">
        <v>209</v>
      </c>
      <c r="I156" s="107">
        <v>6222</v>
      </c>
      <c r="J156" s="107"/>
      <c r="K156" s="39">
        <v>2.2999999999999998</v>
      </c>
      <c r="L156" s="40" t="s">
        <v>210</v>
      </c>
      <c r="M156" s="69" t="s">
        <v>75</v>
      </c>
      <c r="N156" s="42" t="s">
        <v>63</v>
      </c>
      <c r="O156" s="41" t="s">
        <v>77</v>
      </c>
      <c r="P156" s="46" t="s">
        <v>404</v>
      </c>
      <c r="Q156" s="62" t="s">
        <v>304</v>
      </c>
      <c r="R156" s="33" t="s">
        <v>830</v>
      </c>
      <c r="S156" s="45">
        <f t="shared" si="36"/>
        <v>450000</v>
      </c>
      <c r="T156" s="45">
        <v>450000</v>
      </c>
      <c r="U156" s="45">
        <v>0</v>
      </c>
      <c r="V156" s="109" t="s">
        <v>677</v>
      </c>
      <c r="W156" s="63">
        <v>41870</v>
      </c>
      <c r="X156" s="48"/>
      <c r="Y156" s="109" t="s">
        <v>101</v>
      </c>
      <c r="Z156" s="45"/>
      <c r="AA156" s="45"/>
      <c r="AB156" s="45">
        <f t="shared" si="29"/>
        <v>0</v>
      </c>
      <c r="AC156" s="48"/>
      <c r="AD156" s="63"/>
      <c r="AE156" s="51">
        <f t="shared" si="37"/>
        <v>0</v>
      </c>
      <c r="AF156" s="52">
        <f t="shared" si="38"/>
        <v>6032.4899999999907</v>
      </c>
      <c r="AG156" s="52">
        <v>443967.51</v>
      </c>
      <c r="AH156" s="52">
        <f>136107.06+307860.45</f>
        <v>443967.51</v>
      </c>
      <c r="AI156" s="52">
        <f t="shared" si="34"/>
        <v>0</v>
      </c>
      <c r="AJ156" s="124">
        <v>0</v>
      </c>
      <c r="AK156" s="45">
        <v>0</v>
      </c>
      <c r="AL156" s="52">
        <f t="shared" si="30"/>
        <v>0</v>
      </c>
      <c r="AM156" s="52">
        <f t="shared" si="31"/>
        <v>443967.51</v>
      </c>
      <c r="AN156" s="51">
        <f t="shared" si="32"/>
        <v>443967.51</v>
      </c>
      <c r="AO156" s="51">
        <f t="shared" si="33"/>
        <v>0</v>
      </c>
      <c r="AP156" s="125" t="s">
        <v>71</v>
      </c>
      <c r="AQ156" s="52"/>
      <c r="AR156" s="51"/>
      <c r="AS156" s="51">
        <f t="shared" si="39"/>
        <v>0</v>
      </c>
      <c r="AT156" s="126">
        <f t="shared" si="35"/>
        <v>6032.4899999999907</v>
      </c>
      <c r="AU156" s="48"/>
      <c r="AV156" s="46"/>
    </row>
    <row r="157" spans="1:48" ht="24.75" hidden="1" x14ac:dyDescent="0.2">
      <c r="A157" s="32">
        <v>636</v>
      </c>
      <c r="B157" s="33" t="s">
        <v>831</v>
      </c>
      <c r="C157" s="134"/>
      <c r="D157" s="107"/>
      <c r="E157" s="36" t="s">
        <v>832</v>
      </c>
      <c r="F157" s="37" t="s">
        <v>59</v>
      </c>
      <c r="G157" s="36"/>
      <c r="H157" s="105"/>
      <c r="I157" s="107"/>
      <c r="J157" s="107"/>
      <c r="K157" s="39"/>
      <c r="L157" s="118" t="s">
        <v>154</v>
      </c>
      <c r="M157" s="69" t="s">
        <v>199</v>
      </c>
      <c r="N157" s="42" t="s">
        <v>63</v>
      </c>
      <c r="O157" s="62"/>
      <c r="P157" s="46" t="s">
        <v>289</v>
      </c>
      <c r="Q157" s="62" t="s">
        <v>833</v>
      </c>
      <c r="R157" s="33" t="s">
        <v>834</v>
      </c>
      <c r="S157" s="45">
        <f t="shared" si="36"/>
        <v>243856.33</v>
      </c>
      <c r="T157" s="45">
        <f>246326-2469.67</f>
        <v>243856.33</v>
      </c>
      <c r="U157" s="45">
        <v>0</v>
      </c>
      <c r="V157" s="109" t="s">
        <v>835</v>
      </c>
      <c r="W157" s="63">
        <v>41610</v>
      </c>
      <c r="X157" s="48"/>
      <c r="Y157" s="109" t="s">
        <v>101</v>
      </c>
      <c r="Z157" s="45"/>
      <c r="AA157" s="45"/>
      <c r="AB157" s="45">
        <f t="shared" ref="AB157:AB217" si="40">Z157-AA157</f>
        <v>0</v>
      </c>
      <c r="AC157" s="48"/>
      <c r="AD157" s="63"/>
      <c r="AE157" s="51">
        <f t="shared" si="37"/>
        <v>0</v>
      </c>
      <c r="AF157" s="52">
        <f t="shared" si="38"/>
        <v>0</v>
      </c>
      <c r="AG157" s="52">
        <v>243856.33</v>
      </c>
      <c r="AH157" s="52">
        <v>243856.33</v>
      </c>
      <c r="AI157" s="52">
        <f t="shared" si="34"/>
        <v>0</v>
      </c>
      <c r="AJ157" s="124">
        <v>0</v>
      </c>
      <c r="AK157" s="45">
        <v>0</v>
      </c>
      <c r="AL157" s="52">
        <f t="shared" ref="AL157:AL217" si="41">+AJ157-AK157</f>
        <v>0</v>
      </c>
      <c r="AM157" s="52">
        <f t="shared" ref="AM157:AM217" si="42">SUM(AG157+Z157)+AJ157</f>
        <v>243856.33</v>
      </c>
      <c r="AN157" s="51">
        <f t="shared" ref="AN157:AN194" si="43">SUM(AA157+AH157)+AK157</f>
        <v>243856.33</v>
      </c>
      <c r="AO157" s="51">
        <f t="shared" ref="AO157:AO217" si="44">+AM157-AN157</f>
        <v>0</v>
      </c>
      <c r="AP157" s="125" t="s">
        <v>146</v>
      </c>
      <c r="AQ157" s="52">
        <v>0</v>
      </c>
      <c r="AR157" s="51">
        <v>0</v>
      </c>
      <c r="AS157" s="51">
        <f t="shared" si="39"/>
        <v>0</v>
      </c>
      <c r="AT157" s="126">
        <f t="shared" si="35"/>
        <v>0</v>
      </c>
      <c r="AU157" s="48"/>
      <c r="AV157" s="46"/>
    </row>
    <row r="158" spans="1:48" ht="24.75" hidden="1" x14ac:dyDescent="0.2">
      <c r="A158" s="32">
        <v>636</v>
      </c>
      <c r="B158" s="33" t="s">
        <v>831</v>
      </c>
      <c r="C158" s="134"/>
      <c r="D158" s="107"/>
      <c r="E158" s="36" t="s">
        <v>836</v>
      </c>
      <c r="F158" s="37" t="s">
        <v>59</v>
      </c>
      <c r="G158" s="36"/>
      <c r="H158" s="105"/>
      <c r="I158" s="107"/>
      <c r="J158" s="107"/>
      <c r="K158" s="39"/>
      <c r="L158" s="118" t="s">
        <v>154</v>
      </c>
      <c r="M158" s="69" t="s">
        <v>199</v>
      </c>
      <c r="N158" s="42" t="s">
        <v>63</v>
      </c>
      <c r="O158" s="62"/>
      <c r="P158" s="46" t="s">
        <v>289</v>
      </c>
      <c r="Q158" s="62" t="s">
        <v>837</v>
      </c>
      <c r="R158" s="33" t="s">
        <v>838</v>
      </c>
      <c r="S158" s="45">
        <f t="shared" si="36"/>
        <v>190397.04</v>
      </c>
      <c r="T158" s="45">
        <f>192328-1930.96</f>
        <v>190397.04</v>
      </c>
      <c r="U158" s="45">
        <v>0</v>
      </c>
      <c r="V158" s="109" t="s">
        <v>835</v>
      </c>
      <c r="W158" s="63">
        <v>41610</v>
      </c>
      <c r="X158" s="48"/>
      <c r="Y158" s="109" t="s">
        <v>101</v>
      </c>
      <c r="Z158" s="45"/>
      <c r="AA158" s="45"/>
      <c r="AB158" s="45">
        <f t="shared" si="40"/>
        <v>0</v>
      </c>
      <c r="AC158" s="48"/>
      <c r="AD158" s="63"/>
      <c r="AE158" s="51">
        <f t="shared" si="37"/>
        <v>0</v>
      </c>
      <c r="AF158" s="52">
        <f t="shared" si="38"/>
        <v>0</v>
      </c>
      <c r="AG158" s="52">
        <v>190397.04</v>
      </c>
      <c r="AH158" s="52">
        <v>190397.04</v>
      </c>
      <c r="AI158" s="52">
        <f t="shared" si="34"/>
        <v>0</v>
      </c>
      <c r="AJ158" s="124">
        <v>0</v>
      </c>
      <c r="AK158" s="45">
        <v>0</v>
      </c>
      <c r="AL158" s="52">
        <f t="shared" si="41"/>
        <v>0</v>
      </c>
      <c r="AM158" s="52">
        <f t="shared" si="42"/>
        <v>190397.04</v>
      </c>
      <c r="AN158" s="51">
        <f t="shared" si="43"/>
        <v>190397.04</v>
      </c>
      <c r="AO158" s="51">
        <f t="shared" si="44"/>
        <v>0</v>
      </c>
      <c r="AP158" s="125" t="s">
        <v>146</v>
      </c>
      <c r="AQ158" s="52">
        <v>0</v>
      </c>
      <c r="AR158" s="51">
        <v>0</v>
      </c>
      <c r="AS158" s="51">
        <f t="shared" si="39"/>
        <v>0</v>
      </c>
      <c r="AT158" s="126">
        <f t="shared" si="35"/>
        <v>0</v>
      </c>
      <c r="AU158" s="48"/>
      <c r="AV158" s="46"/>
    </row>
    <row r="159" spans="1:48" ht="57.75" hidden="1" x14ac:dyDescent="0.2">
      <c r="A159" s="32">
        <v>639</v>
      </c>
      <c r="B159" s="105" t="s">
        <v>839</v>
      </c>
      <c r="C159" s="106"/>
      <c r="D159" s="107">
        <v>381</v>
      </c>
      <c r="E159" s="36" t="s">
        <v>840</v>
      </c>
      <c r="F159" s="36"/>
      <c r="G159" s="36"/>
      <c r="H159" s="33" t="s">
        <v>209</v>
      </c>
      <c r="I159" s="107">
        <v>6222</v>
      </c>
      <c r="J159" s="107"/>
      <c r="K159" s="39">
        <v>2.2999999999999998</v>
      </c>
      <c r="L159" s="40" t="s">
        <v>210</v>
      </c>
      <c r="M159" s="69" t="s">
        <v>75</v>
      </c>
      <c r="N159" s="42" t="s">
        <v>76</v>
      </c>
      <c r="O159" s="41" t="s">
        <v>77</v>
      </c>
      <c r="P159" s="46" t="s">
        <v>758</v>
      </c>
      <c r="Q159" s="62" t="s">
        <v>841</v>
      </c>
      <c r="R159" s="33" t="s">
        <v>842</v>
      </c>
      <c r="S159" s="45">
        <f t="shared" si="36"/>
        <v>758450</v>
      </c>
      <c r="T159" s="45">
        <v>758450</v>
      </c>
      <c r="U159" s="45">
        <v>0</v>
      </c>
      <c r="V159" s="109" t="s">
        <v>843</v>
      </c>
      <c r="W159" s="63">
        <v>41873</v>
      </c>
      <c r="X159" s="48"/>
      <c r="Y159" s="109" t="s">
        <v>101</v>
      </c>
      <c r="Z159" s="45"/>
      <c r="AA159" s="45"/>
      <c r="AB159" s="45">
        <f t="shared" si="40"/>
        <v>0</v>
      </c>
      <c r="AC159" s="48"/>
      <c r="AD159" s="63"/>
      <c r="AE159" s="51">
        <f t="shared" si="37"/>
        <v>0</v>
      </c>
      <c r="AF159" s="52">
        <f t="shared" si="38"/>
        <v>16683.089999999967</v>
      </c>
      <c r="AG159" s="52">
        <v>741766.91</v>
      </c>
      <c r="AH159" s="52">
        <f>222530.07+136089.2+296688.06+86459.57</f>
        <v>741766.90000000014</v>
      </c>
      <c r="AI159" s="52">
        <f t="shared" si="34"/>
        <v>9.9999998928979039E-3</v>
      </c>
      <c r="AJ159" s="124">
        <v>0</v>
      </c>
      <c r="AK159" s="45">
        <v>0</v>
      </c>
      <c r="AL159" s="52">
        <f t="shared" si="41"/>
        <v>0</v>
      </c>
      <c r="AM159" s="52">
        <f t="shared" si="42"/>
        <v>741766.91</v>
      </c>
      <c r="AN159" s="51">
        <f t="shared" si="43"/>
        <v>741766.90000000014</v>
      </c>
      <c r="AO159" s="51">
        <f t="shared" si="44"/>
        <v>9.9999998928979039E-3</v>
      </c>
      <c r="AP159" s="125" t="s">
        <v>336</v>
      </c>
      <c r="AQ159" s="52">
        <v>191836.27</v>
      </c>
      <c r="AR159" s="51">
        <f>50279.27+109613.82+31943.18</f>
        <v>191836.27</v>
      </c>
      <c r="AS159" s="51">
        <f t="shared" si="39"/>
        <v>0</v>
      </c>
      <c r="AT159" s="126">
        <f t="shared" si="35"/>
        <v>16683.09999999986</v>
      </c>
      <c r="AU159" s="48"/>
      <c r="AV159" s="46"/>
    </row>
    <row r="160" spans="1:48" ht="33" hidden="1" x14ac:dyDescent="0.2">
      <c r="A160" s="32">
        <v>639</v>
      </c>
      <c r="B160" s="105" t="s">
        <v>844</v>
      </c>
      <c r="C160" s="106"/>
      <c r="D160" s="107">
        <v>419</v>
      </c>
      <c r="E160" s="36" t="s">
        <v>845</v>
      </c>
      <c r="F160" s="36"/>
      <c r="G160" s="36"/>
      <c r="H160" s="33" t="s">
        <v>209</v>
      </c>
      <c r="I160" s="107">
        <v>6222</v>
      </c>
      <c r="J160" s="107"/>
      <c r="K160" s="39">
        <v>2.2999999999999998</v>
      </c>
      <c r="L160" s="40" t="s">
        <v>210</v>
      </c>
      <c r="M160" s="69" t="s">
        <v>75</v>
      </c>
      <c r="N160" s="42" t="s">
        <v>63</v>
      </c>
      <c r="O160" s="41" t="s">
        <v>77</v>
      </c>
      <c r="P160" s="46" t="s">
        <v>238</v>
      </c>
      <c r="Q160" s="62" t="s">
        <v>780</v>
      </c>
      <c r="R160" s="33" t="s">
        <v>846</v>
      </c>
      <c r="S160" s="45">
        <f t="shared" si="36"/>
        <v>650000</v>
      </c>
      <c r="T160" s="45">
        <v>650000</v>
      </c>
      <c r="U160" s="45">
        <v>0</v>
      </c>
      <c r="V160" s="109" t="s">
        <v>847</v>
      </c>
      <c r="W160" s="63">
        <v>41872</v>
      </c>
      <c r="X160" s="48"/>
      <c r="Y160" s="109" t="s">
        <v>101</v>
      </c>
      <c r="Z160" s="45"/>
      <c r="AA160" s="45"/>
      <c r="AB160" s="45">
        <f t="shared" si="40"/>
        <v>0</v>
      </c>
      <c r="AC160" s="48"/>
      <c r="AD160" s="63"/>
      <c r="AE160" s="51">
        <f t="shared" si="37"/>
        <v>0</v>
      </c>
      <c r="AF160" s="52">
        <f t="shared" si="38"/>
        <v>6199.859999999986</v>
      </c>
      <c r="AG160" s="52">
        <v>643800.14</v>
      </c>
      <c r="AH160" s="52">
        <f>193140.05+450660.09</f>
        <v>643800.14</v>
      </c>
      <c r="AI160" s="52">
        <f t="shared" si="34"/>
        <v>0</v>
      </c>
      <c r="AJ160" s="124">
        <v>0</v>
      </c>
      <c r="AK160" s="45">
        <v>0</v>
      </c>
      <c r="AL160" s="52">
        <f t="shared" si="41"/>
        <v>0</v>
      </c>
      <c r="AM160" s="52">
        <f t="shared" si="42"/>
        <v>643800.14</v>
      </c>
      <c r="AN160" s="51">
        <f t="shared" si="43"/>
        <v>643800.14</v>
      </c>
      <c r="AO160" s="51">
        <f t="shared" si="44"/>
        <v>0</v>
      </c>
      <c r="AP160" s="125" t="s">
        <v>205</v>
      </c>
      <c r="AQ160" s="52">
        <v>166500.04</v>
      </c>
      <c r="AR160" s="51">
        <v>166500.04</v>
      </c>
      <c r="AS160" s="51">
        <f t="shared" si="39"/>
        <v>0</v>
      </c>
      <c r="AT160" s="126">
        <f t="shared" si="35"/>
        <v>6199.859999999986</v>
      </c>
      <c r="AU160" s="48"/>
      <c r="AV160" s="46"/>
    </row>
    <row r="161" spans="1:48" ht="49.5" hidden="1" x14ac:dyDescent="0.2">
      <c r="A161" s="32">
        <v>639</v>
      </c>
      <c r="B161" s="105" t="s">
        <v>848</v>
      </c>
      <c r="C161" s="106"/>
      <c r="D161" s="107">
        <v>417</v>
      </c>
      <c r="E161" s="36" t="s">
        <v>849</v>
      </c>
      <c r="F161" s="36"/>
      <c r="G161" s="36"/>
      <c r="H161" s="33" t="s">
        <v>209</v>
      </c>
      <c r="I161" s="107">
        <v>6222</v>
      </c>
      <c r="J161" s="107"/>
      <c r="K161" s="39">
        <v>2.2999999999999998</v>
      </c>
      <c r="L161" s="40" t="s">
        <v>210</v>
      </c>
      <c r="M161" s="69" t="s">
        <v>75</v>
      </c>
      <c r="N161" s="42" t="s">
        <v>63</v>
      </c>
      <c r="O161" s="41" t="s">
        <v>77</v>
      </c>
      <c r="P161" s="46" t="s">
        <v>212</v>
      </c>
      <c r="Q161" s="62" t="s">
        <v>850</v>
      </c>
      <c r="R161" s="33" t="s">
        <v>851</v>
      </c>
      <c r="S161" s="45">
        <f t="shared" si="36"/>
        <v>815000</v>
      </c>
      <c r="T161" s="45">
        <v>815000</v>
      </c>
      <c r="U161" s="45">
        <v>0</v>
      </c>
      <c r="V161" s="109" t="s">
        <v>847</v>
      </c>
      <c r="W161" s="63">
        <v>41872</v>
      </c>
      <c r="X161" s="48"/>
      <c r="Y161" s="109" t="s">
        <v>101</v>
      </c>
      <c r="Z161" s="45"/>
      <c r="AA161" s="45"/>
      <c r="AB161" s="45">
        <f t="shared" si="40"/>
        <v>0</v>
      </c>
      <c r="AC161" s="48"/>
      <c r="AD161" s="63"/>
      <c r="AE161" s="51">
        <f t="shared" si="37"/>
        <v>0</v>
      </c>
      <c r="AF161" s="52">
        <f t="shared" si="38"/>
        <v>48567.859999999986</v>
      </c>
      <c r="AG161" s="52">
        <v>766432.14</v>
      </c>
      <c r="AH161" s="52">
        <f>229929.66+325449.23</f>
        <v>555378.89</v>
      </c>
      <c r="AI161" s="52">
        <f t="shared" si="34"/>
        <v>211053.25</v>
      </c>
      <c r="AJ161" s="124">
        <v>0</v>
      </c>
      <c r="AK161" s="45">
        <v>0</v>
      </c>
      <c r="AL161" s="52">
        <f t="shared" si="41"/>
        <v>0</v>
      </c>
      <c r="AM161" s="52">
        <f t="shared" si="42"/>
        <v>766432.14</v>
      </c>
      <c r="AN161" s="51">
        <f t="shared" si="43"/>
        <v>555378.89</v>
      </c>
      <c r="AO161" s="51">
        <f t="shared" si="44"/>
        <v>211053.25</v>
      </c>
      <c r="AP161" s="125" t="s">
        <v>333</v>
      </c>
      <c r="AQ161" s="52">
        <v>198215.22</v>
      </c>
      <c r="AR161" s="51">
        <v>120239.86</v>
      </c>
      <c r="AS161" s="51">
        <f t="shared" si="39"/>
        <v>77975.360000000001</v>
      </c>
      <c r="AT161" s="51">
        <f t="shared" si="35"/>
        <v>259621.11</v>
      </c>
      <c r="AU161" s="48"/>
      <c r="AV161" s="46"/>
    </row>
    <row r="162" spans="1:48" ht="24.75" hidden="1" x14ac:dyDescent="0.2">
      <c r="A162" s="32">
        <v>639</v>
      </c>
      <c r="B162" s="105" t="s">
        <v>852</v>
      </c>
      <c r="C162" s="106"/>
      <c r="D162" s="107">
        <v>421</v>
      </c>
      <c r="E162" s="36" t="s">
        <v>853</v>
      </c>
      <c r="F162" s="36"/>
      <c r="G162" s="36"/>
      <c r="H162" s="33" t="s">
        <v>209</v>
      </c>
      <c r="I162" s="107">
        <v>6222</v>
      </c>
      <c r="J162" s="107"/>
      <c r="K162" s="39">
        <v>2.2999999999999998</v>
      </c>
      <c r="L162" s="40" t="s">
        <v>210</v>
      </c>
      <c r="M162" s="69" t="s">
        <v>75</v>
      </c>
      <c r="N162" s="42" t="s">
        <v>63</v>
      </c>
      <c r="O162" s="41" t="s">
        <v>77</v>
      </c>
      <c r="P162" s="46" t="s">
        <v>404</v>
      </c>
      <c r="Q162" s="62" t="s">
        <v>854</v>
      </c>
      <c r="R162" s="33" t="s">
        <v>855</v>
      </c>
      <c r="S162" s="45">
        <f t="shared" si="36"/>
        <v>350000</v>
      </c>
      <c r="T162" s="45">
        <v>350000</v>
      </c>
      <c r="U162" s="45">
        <v>0</v>
      </c>
      <c r="V162" s="109" t="s">
        <v>847</v>
      </c>
      <c r="W162" s="63">
        <v>41872</v>
      </c>
      <c r="X162" s="48"/>
      <c r="Y162" s="109" t="s">
        <v>101</v>
      </c>
      <c r="Z162" s="45"/>
      <c r="AA162" s="45"/>
      <c r="AB162" s="45">
        <f t="shared" si="40"/>
        <v>0</v>
      </c>
      <c r="AC162" s="48"/>
      <c r="AD162" s="63"/>
      <c r="AE162" s="51">
        <f t="shared" si="37"/>
        <v>0</v>
      </c>
      <c r="AF162" s="52">
        <f t="shared" si="38"/>
        <v>2719.5900000000256</v>
      </c>
      <c r="AG162" s="52">
        <v>347280.41</v>
      </c>
      <c r="AH162" s="52">
        <f>163034.59+184245.82</f>
        <v>347280.41000000003</v>
      </c>
      <c r="AI162" s="52">
        <f t="shared" si="34"/>
        <v>-5.8207660913467407E-11</v>
      </c>
      <c r="AJ162" s="124">
        <v>0</v>
      </c>
      <c r="AK162" s="45">
        <v>0</v>
      </c>
      <c r="AL162" s="52">
        <f t="shared" si="41"/>
        <v>0</v>
      </c>
      <c r="AM162" s="52">
        <f t="shared" si="42"/>
        <v>347280.41</v>
      </c>
      <c r="AN162" s="51">
        <f t="shared" si="43"/>
        <v>347280.41000000003</v>
      </c>
      <c r="AO162" s="51">
        <f t="shared" si="44"/>
        <v>0</v>
      </c>
      <c r="AP162" s="125" t="s">
        <v>856</v>
      </c>
      <c r="AQ162" s="52">
        <v>0</v>
      </c>
      <c r="AR162" s="51">
        <v>0</v>
      </c>
      <c r="AS162" s="51">
        <f t="shared" si="39"/>
        <v>0</v>
      </c>
      <c r="AT162" s="126">
        <f t="shared" si="35"/>
        <v>2719.5899999999674</v>
      </c>
      <c r="AU162" s="48"/>
      <c r="AV162" s="46"/>
    </row>
    <row r="163" spans="1:48" ht="24.75" hidden="1" x14ac:dyDescent="0.2">
      <c r="A163" s="32">
        <v>639</v>
      </c>
      <c r="B163" s="105" t="s">
        <v>857</v>
      </c>
      <c r="C163" s="106"/>
      <c r="D163" s="107">
        <v>387</v>
      </c>
      <c r="E163" s="36" t="s">
        <v>858</v>
      </c>
      <c r="F163" s="36"/>
      <c r="G163" s="36"/>
      <c r="H163" s="33" t="s">
        <v>209</v>
      </c>
      <c r="I163" s="107">
        <v>6222</v>
      </c>
      <c r="J163" s="107"/>
      <c r="K163" s="39">
        <v>2.2999999999999998</v>
      </c>
      <c r="L163" s="40" t="s">
        <v>210</v>
      </c>
      <c r="M163" s="69" t="s">
        <v>75</v>
      </c>
      <c r="N163" s="42" t="s">
        <v>76</v>
      </c>
      <c r="O163" s="41" t="s">
        <v>77</v>
      </c>
      <c r="P163" s="46" t="s">
        <v>405</v>
      </c>
      <c r="Q163" s="62" t="s">
        <v>859</v>
      </c>
      <c r="R163" s="33" t="s">
        <v>860</v>
      </c>
      <c r="S163" s="45">
        <f t="shared" si="36"/>
        <v>817364.66</v>
      </c>
      <c r="T163" s="45">
        <v>817364.66</v>
      </c>
      <c r="U163" s="45">
        <v>0</v>
      </c>
      <c r="V163" s="109" t="s">
        <v>843</v>
      </c>
      <c r="W163" s="63">
        <v>41873</v>
      </c>
      <c r="X163" s="48"/>
      <c r="Y163" s="109" t="s">
        <v>101</v>
      </c>
      <c r="Z163" s="45"/>
      <c r="AA163" s="45"/>
      <c r="AB163" s="45">
        <f t="shared" si="40"/>
        <v>0</v>
      </c>
      <c r="AC163" s="48"/>
      <c r="AD163" s="63"/>
      <c r="AE163" s="51">
        <f t="shared" si="37"/>
        <v>0</v>
      </c>
      <c r="AF163" s="52">
        <f t="shared" si="38"/>
        <v>12522.640000000014</v>
      </c>
      <c r="AG163" s="52">
        <v>804842.02</v>
      </c>
      <c r="AH163" s="52">
        <f>241452.61+314022.28+249367.13</f>
        <v>804842.02</v>
      </c>
      <c r="AI163" s="52">
        <f t="shared" si="34"/>
        <v>0</v>
      </c>
      <c r="AJ163" s="124">
        <v>0</v>
      </c>
      <c r="AK163" s="45">
        <v>0</v>
      </c>
      <c r="AL163" s="52">
        <f t="shared" si="41"/>
        <v>0</v>
      </c>
      <c r="AM163" s="52">
        <f t="shared" si="42"/>
        <v>804842.02</v>
      </c>
      <c r="AN163" s="51">
        <f t="shared" si="43"/>
        <v>804842.02</v>
      </c>
      <c r="AO163" s="51">
        <f t="shared" si="44"/>
        <v>0</v>
      </c>
      <c r="AP163" s="125" t="s">
        <v>205</v>
      </c>
      <c r="AQ163" s="52">
        <v>208148.8</v>
      </c>
      <c r="AR163" s="51">
        <f>116018.08+92130.72</f>
        <v>208148.8</v>
      </c>
      <c r="AS163" s="51">
        <f t="shared" si="39"/>
        <v>0</v>
      </c>
      <c r="AT163" s="126">
        <f t="shared" si="35"/>
        <v>12522.640000000014</v>
      </c>
      <c r="AU163" s="48"/>
      <c r="AV163" s="46"/>
    </row>
    <row r="164" spans="1:48" ht="41.25" hidden="1" x14ac:dyDescent="0.2">
      <c r="A164" s="64">
        <v>6411</v>
      </c>
      <c r="B164" s="105" t="s">
        <v>861</v>
      </c>
      <c r="C164" s="106"/>
      <c r="D164" s="107">
        <v>448</v>
      </c>
      <c r="E164" s="36" t="s">
        <v>862</v>
      </c>
      <c r="F164" s="36"/>
      <c r="G164" s="36"/>
      <c r="H164" s="105" t="s">
        <v>185</v>
      </c>
      <c r="I164" s="107">
        <v>6229</v>
      </c>
      <c r="J164" s="107"/>
      <c r="K164" s="39">
        <v>3.1</v>
      </c>
      <c r="L164" s="118" t="s">
        <v>863</v>
      </c>
      <c r="M164" s="69" t="s">
        <v>138</v>
      </c>
      <c r="N164" s="62" t="s">
        <v>139</v>
      </c>
      <c r="O164" s="62" t="s">
        <v>716</v>
      </c>
      <c r="P164" s="46" t="s">
        <v>289</v>
      </c>
      <c r="Q164" s="62" t="s">
        <v>864</v>
      </c>
      <c r="R164" s="33" t="s">
        <v>865</v>
      </c>
      <c r="S164" s="45">
        <f t="shared" si="36"/>
        <v>0</v>
      </c>
      <c r="T164" s="45">
        <f>36575960-36575960</f>
        <v>0</v>
      </c>
      <c r="U164" s="45">
        <v>0</v>
      </c>
      <c r="V164" s="67" t="s">
        <v>866</v>
      </c>
      <c r="W164" s="47" t="s">
        <v>867</v>
      </c>
      <c r="X164" s="48"/>
      <c r="Y164" s="109" t="s">
        <v>101</v>
      </c>
      <c r="Z164" s="45"/>
      <c r="AA164" s="45"/>
      <c r="AB164" s="45">
        <f t="shared" si="40"/>
        <v>0</v>
      </c>
      <c r="AC164" s="48"/>
      <c r="AD164" s="63"/>
      <c r="AE164" s="51">
        <f t="shared" si="37"/>
        <v>0</v>
      </c>
      <c r="AF164" s="52">
        <f t="shared" si="38"/>
        <v>0</v>
      </c>
      <c r="AG164" s="52">
        <f>36517960-36517960</f>
        <v>0</v>
      </c>
      <c r="AH164" s="52">
        <f>10955388+14327983.6+11234588.4-36517960</f>
        <v>0</v>
      </c>
      <c r="AI164" s="52">
        <f t="shared" si="34"/>
        <v>0</v>
      </c>
      <c r="AJ164" s="124">
        <v>0</v>
      </c>
      <c r="AK164" s="45">
        <v>0</v>
      </c>
      <c r="AL164" s="52">
        <f t="shared" si="41"/>
        <v>0</v>
      </c>
      <c r="AM164" s="52">
        <f t="shared" si="42"/>
        <v>0</v>
      </c>
      <c r="AN164" s="51">
        <f t="shared" si="43"/>
        <v>0</v>
      </c>
      <c r="AO164" s="51">
        <f t="shared" si="44"/>
        <v>0</v>
      </c>
      <c r="AP164" s="125" t="s">
        <v>146</v>
      </c>
      <c r="AQ164" s="52">
        <v>9444300</v>
      </c>
      <c r="AR164" s="51">
        <f>5293590+4150710</f>
        <v>9444300</v>
      </c>
      <c r="AS164" s="51">
        <f t="shared" si="39"/>
        <v>0</v>
      </c>
      <c r="AT164" s="126">
        <f t="shared" si="35"/>
        <v>0</v>
      </c>
      <c r="AU164" s="48"/>
      <c r="AV164" s="46"/>
    </row>
    <row r="165" spans="1:48" ht="24.75" hidden="1" x14ac:dyDescent="0.2">
      <c r="A165" s="32">
        <v>639</v>
      </c>
      <c r="B165" s="105" t="s">
        <v>868</v>
      </c>
      <c r="C165" s="106"/>
      <c r="D165" s="107">
        <v>355</v>
      </c>
      <c r="E165" s="36" t="s">
        <v>869</v>
      </c>
      <c r="F165" s="36"/>
      <c r="G165" s="36"/>
      <c r="H165" s="33" t="s">
        <v>209</v>
      </c>
      <c r="I165" s="107">
        <v>6222</v>
      </c>
      <c r="J165" s="107"/>
      <c r="K165" s="39">
        <v>2.2999999999999998</v>
      </c>
      <c r="L165" s="40" t="s">
        <v>210</v>
      </c>
      <c r="M165" s="69" t="s">
        <v>75</v>
      </c>
      <c r="N165" s="42" t="s">
        <v>76</v>
      </c>
      <c r="O165" s="41" t="s">
        <v>77</v>
      </c>
      <c r="P165" s="46" t="s">
        <v>786</v>
      </c>
      <c r="Q165" s="62" t="s">
        <v>870</v>
      </c>
      <c r="R165" s="33" t="s">
        <v>871</v>
      </c>
      <c r="S165" s="45">
        <f t="shared" si="36"/>
        <v>469360.41</v>
      </c>
      <c r="T165" s="45">
        <v>469360.41</v>
      </c>
      <c r="U165" s="45">
        <v>0</v>
      </c>
      <c r="V165" s="109" t="s">
        <v>843</v>
      </c>
      <c r="W165" s="63">
        <v>41873</v>
      </c>
      <c r="X165" s="48"/>
      <c r="Y165" s="109" t="s">
        <v>101</v>
      </c>
      <c r="Z165" s="45"/>
      <c r="AA165" s="45"/>
      <c r="AB165" s="45">
        <f t="shared" si="40"/>
        <v>0</v>
      </c>
      <c r="AC165" s="48"/>
      <c r="AD165" s="63"/>
      <c r="AE165" s="51">
        <f t="shared" si="37"/>
        <v>0</v>
      </c>
      <c r="AF165" s="52">
        <f t="shared" si="38"/>
        <v>6315.1900000000023</v>
      </c>
      <c r="AG165" s="52">
        <v>463045.22</v>
      </c>
      <c r="AH165" s="52">
        <f>138913.56+256414.76+67716.89</f>
        <v>463045.21</v>
      </c>
      <c r="AI165" s="52">
        <f t="shared" si="34"/>
        <v>9.9999999511055648E-3</v>
      </c>
      <c r="AJ165" s="124">
        <v>0</v>
      </c>
      <c r="AK165" s="45">
        <v>0</v>
      </c>
      <c r="AL165" s="52">
        <f t="shared" si="41"/>
        <v>0</v>
      </c>
      <c r="AM165" s="52">
        <f t="shared" si="42"/>
        <v>463045.22</v>
      </c>
      <c r="AN165" s="51">
        <f t="shared" si="43"/>
        <v>463045.21</v>
      </c>
      <c r="AO165" s="51">
        <f t="shared" si="44"/>
        <v>9.9999999511055648E-3</v>
      </c>
      <c r="AP165" s="125" t="s">
        <v>872</v>
      </c>
      <c r="AQ165" s="52">
        <v>119753.07</v>
      </c>
      <c r="AR165" s="51">
        <f>94734.52+25018.55</f>
        <v>119753.07</v>
      </c>
      <c r="AS165" s="51">
        <f t="shared" si="39"/>
        <v>0</v>
      </c>
      <c r="AT165" s="126">
        <f t="shared" si="35"/>
        <v>6315.1999999999534</v>
      </c>
      <c r="AU165" s="48"/>
      <c r="AV165" s="46"/>
    </row>
    <row r="166" spans="1:48" ht="24.75" hidden="1" x14ac:dyDescent="0.2">
      <c r="A166" s="32">
        <v>639</v>
      </c>
      <c r="B166" s="105" t="s">
        <v>873</v>
      </c>
      <c r="C166" s="106"/>
      <c r="D166" s="107">
        <v>368</v>
      </c>
      <c r="E166" s="36" t="s">
        <v>874</v>
      </c>
      <c r="F166" s="36"/>
      <c r="G166" s="36"/>
      <c r="H166" s="33" t="s">
        <v>875</v>
      </c>
      <c r="I166" s="107">
        <v>6222</v>
      </c>
      <c r="J166" s="107"/>
      <c r="K166" s="39">
        <v>2.5</v>
      </c>
      <c r="L166" s="40" t="s">
        <v>876</v>
      </c>
      <c r="M166" s="69" t="s">
        <v>75</v>
      </c>
      <c r="N166" s="42" t="s">
        <v>76</v>
      </c>
      <c r="O166" s="62" t="s">
        <v>314</v>
      </c>
      <c r="P166" s="46" t="s">
        <v>229</v>
      </c>
      <c r="Q166" s="62" t="s">
        <v>730</v>
      </c>
      <c r="R166" s="33" t="s">
        <v>877</v>
      </c>
      <c r="S166" s="45">
        <f t="shared" si="36"/>
        <v>9895441</v>
      </c>
      <c r="T166" s="45">
        <v>9895441</v>
      </c>
      <c r="U166" s="45">
        <v>0</v>
      </c>
      <c r="V166" s="109" t="s">
        <v>878</v>
      </c>
      <c r="W166" s="63">
        <v>41872</v>
      </c>
      <c r="X166" s="48"/>
      <c r="Y166" s="109" t="s">
        <v>101</v>
      </c>
      <c r="Z166" s="45"/>
      <c r="AA166" s="45"/>
      <c r="AB166" s="45">
        <f t="shared" si="40"/>
        <v>0</v>
      </c>
      <c r="AC166" s="48"/>
      <c r="AD166" s="63"/>
      <c r="AE166" s="51">
        <f t="shared" si="37"/>
        <v>0</v>
      </c>
      <c r="AF166" s="52">
        <f t="shared" si="38"/>
        <v>210587.3900000006</v>
      </c>
      <c r="AG166" s="52">
        <v>9684853.6099999994</v>
      </c>
      <c r="AH166" s="52">
        <f>2905456.08+213380.4+3197853.1+78840.58+50905.03+2039104.94+913728.22</f>
        <v>9399268.3500000015</v>
      </c>
      <c r="AI166" s="52">
        <f t="shared" si="34"/>
        <v>285585.25999999791</v>
      </c>
      <c r="AJ166" s="124">
        <v>0</v>
      </c>
      <c r="AK166" s="45">
        <v>0</v>
      </c>
      <c r="AL166" s="52">
        <f t="shared" si="41"/>
        <v>0</v>
      </c>
      <c r="AM166" s="52">
        <f t="shared" si="42"/>
        <v>9684853.6099999994</v>
      </c>
      <c r="AN166" s="51">
        <f t="shared" si="43"/>
        <v>9399268.3500000015</v>
      </c>
      <c r="AO166" s="51">
        <f t="shared" si="44"/>
        <v>285585.25999999791</v>
      </c>
      <c r="AP166" s="125" t="s">
        <v>879</v>
      </c>
      <c r="AQ166" s="52">
        <v>2504703.52</v>
      </c>
      <c r="AR166" s="51">
        <f>78835.12+1181472.82+29128.3+18807.28+753363.9+337584.32</f>
        <v>2399191.7399999998</v>
      </c>
      <c r="AS166" s="51">
        <f t="shared" si="39"/>
        <v>105511.78000000026</v>
      </c>
      <c r="AT166" s="51">
        <f t="shared" si="35"/>
        <v>496172.64999999851</v>
      </c>
      <c r="AU166" s="48"/>
      <c r="AV166" s="46"/>
    </row>
    <row r="167" spans="1:48" ht="24.75" hidden="1" x14ac:dyDescent="0.2">
      <c r="A167" s="32">
        <v>639</v>
      </c>
      <c r="B167" s="105" t="s">
        <v>880</v>
      </c>
      <c r="C167" s="106"/>
      <c r="D167" s="107">
        <v>354</v>
      </c>
      <c r="E167" s="36" t="s">
        <v>881</v>
      </c>
      <c r="F167" s="36"/>
      <c r="G167" s="36"/>
      <c r="H167" s="33" t="s">
        <v>209</v>
      </c>
      <c r="I167" s="107">
        <v>6222</v>
      </c>
      <c r="J167" s="107"/>
      <c r="K167" s="39">
        <v>2.2999999999999998</v>
      </c>
      <c r="L167" s="40" t="s">
        <v>210</v>
      </c>
      <c r="M167" s="69" t="s">
        <v>75</v>
      </c>
      <c r="N167" s="42" t="s">
        <v>76</v>
      </c>
      <c r="O167" s="41" t="s">
        <v>77</v>
      </c>
      <c r="P167" s="46" t="s">
        <v>882</v>
      </c>
      <c r="Q167" s="62" t="s">
        <v>864</v>
      </c>
      <c r="R167" s="33" t="s">
        <v>883</v>
      </c>
      <c r="S167" s="45">
        <f t="shared" si="36"/>
        <v>455475.59</v>
      </c>
      <c r="T167" s="45">
        <v>455475.59</v>
      </c>
      <c r="U167" s="45">
        <v>0</v>
      </c>
      <c r="V167" s="109" t="s">
        <v>843</v>
      </c>
      <c r="W167" s="63">
        <v>41873</v>
      </c>
      <c r="X167" s="48"/>
      <c r="Y167" s="109" t="s">
        <v>101</v>
      </c>
      <c r="Z167" s="45"/>
      <c r="AA167" s="45"/>
      <c r="AB167" s="45">
        <f t="shared" si="40"/>
        <v>0</v>
      </c>
      <c r="AC167" s="48"/>
      <c r="AD167" s="63"/>
      <c r="AE167" s="51">
        <f t="shared" si="37"/>
        <v>0</v>
      </c>
      <c r="AF167" s="52">
        <f t="shared" si="38"/>
        <v>23431.48000000004</v>
      </c>
      <c r="AG167" s="52">
        <v>432044.11</v>
      </c>
      <c r="AH167" s="52">
        <f>129613.24+273475.74+28955.13</f>
        <v>432044.11</v>
      </c>
      <c r="AI167" s="52">
        <f t="shared" si="34"/>
        <v>0</v>
      </c>
      <c r="AJ167" s="124">
        <v>0</v>
      </c>
      <c r="AK167" s="45">
        <v>0</v>
      </c>
      <c r="AL167" s="52">
        <f t="shared" si="41"/>
        <v>0</v>
      </c>
      <c r="AM167" s="52">
        <f t="shared" si="42"/>
        <v>432044.11</v>
      </c>
      <c r="AN167" s="51">
        <f t="shared" si="43"/>
        <v>432044.11</v>
      </c>
      <c r="AO167" s="51">
        <f t="shared" si="44"/>
        <v>0</v>
      </c>
      <c r="AP167" s="125" t="s">
        <v>336</v>
      </c>
      <c r="AQ167" s="52">
        <v>111735.55</v>
      </c>
      <c r="AR167" s="51">
        <f>101037.84+10697.71</f>
        <v>111735.54999999999</v>
      </c>
      <c r="AS167" s="51">
        <f t="shared" si="39"/>
        <v>1.4551915228366852E-11</v>
      </c>
      <c r="AT167" s="126">
        <f t="shared" si="35"/>
        <v>23431.48000000004</v>
      </c>
      <c r="AU167" s="48"/>
      <c r="AV167" s="46"/>
    </row>
    <row r="168" spans="1:48" ht="33" hidden="1" x14ac:dyDescent="0.2">
      <c r="A168" s="32">
        <v>639</v>
      </c>
      <c r="B168" s="105" t="s">
        <v>884</v>
      </c>
      <c r="C168" s="106"/>
      <c r="D168" s="107">
        <v>416</v>
      </c>
      <c r="E168" s="36" t="s">
        <v>885</v>
      </c>
      <c r="F168" s="36"/>
      <c r="G168" s="36"/>
      <c r="H168" s="33" t="s">
        <v>209</v>
      </c>
      <c r="I168" s="107">
        <v>6222</v>
      </c>
      <c r="J168" s="107"/>
      <c r="K168" s="39">
        <v>2.2999999999999998</v>
      </c>
      <c r="L168" s="40" t="s">
        <v>210</v>
      </c>
      <c r="M168" s="69" t="s">
        <v>75</v>
      </c>
      <c r="N168" s="42" t="s">
        <v>63</v>
      </c>
      <c r="O168" s="41" t="s">
        <v>77</v>
      </c>
      <c r="P168" s="46" t="s">
        <v>331</v>
      </c>
      <c r="Q168" s="62" t="s">
        <v>886</v>
      </c>
      <c r="R168" s="33" t="s">
        <v>887</v>
      </c>
      <c r="S168" s="45">
        <f t="shared" si="36"/>
        <v>1500000</v>
      </c>
      <c r="T168" s="45">
        <v>1500000</v>
      </c>
      <c r="U168" s="45">
        <v>0</v>
      </c>
      <c r="V168" s="109" t="s">
        <v>847</v>
      </c>
      <c r="W168" s="63">
        <v>41872</v>
      </c>
      <c r="X168" s="48"/>
      <c r="Y168" s="109" t="s">
        <v>101</v>
      </c>
      <c r="Z168" s="45"/>
      <c r="AA168" s="45"/>
      <c r="AB168" s="45">
        <f t="shared" si="40"/>
        <v>0</v>
      </c>
      <c r="AC168" s="48"/>
      <c r="AD168" s="63"/>
      <c r="AE168" s="51">
        <f t="shared" si="37"/>
        <v>0</v>
      </c>
      <c r="AF168" s="52">
        <f t="shared" si="38"/>
        <v>4903.5800000000745</v>
      </c>
      <c r="AG168" s="52">
        <v>1495096.42</v>
      </c>
      <c r="AH168" s="52">
        <v>448528.93</v>
      </c>
      <c r="AI168" s="52">
        <f t="shared" si="34"/>
        <v>1046567.49</v>
      </c>
      <c r="AJ168" s="124">
        <v>0</v>
      </c>
      <c r="AK168" s="45">
        <v>0</v>
      </c>
      <c r="AL168" s="52">
        <f t="shared" si="41"/>
        <v>0</v>
      </c>
      <c r="AM168" s="52">
        <f t="shared" si="42"/>
        <v>1495096.42</v>
      </c>
      <c r="AN168" s="51">
        <f t="shared" si="43"/>
        <v>448528.93</v>
      </c>
      <c r="AO168" s="51">
        <f t="shared" si="44"/>
        <v>1046567.49</v>
      </c>
      <c r="AP168" s="125" t="s">
        <v>71</v>
      </c>
      <c r="AQ168" s="52">
        <v>386662.87</v>
      </c>
      <c r="AR168" s="51">
        <v>0</v>
      </c>
      <c r="AS168" s="51">
        <f t="shared" si="39"/>
        <v>386662.87</v>
      </c>
      <c r="AT168" s="51">
        <f t="shared" si="35"/>
        <v>1051471.07</v>
      </c>
      <c r="AU168" s="48"/>
      <c r="AV168" s="46"/>
    </row>
    <row r="169" spans="1:48" ht="33" hidden="1" x14ac:dyDescent="0.2">
      <c r="A169" s="32">
        <v>636</v>
      </c>
      <c r="B169" s="105" t="s">
        <v>888</v>
      </c>
      <c r="C169" s="106"/>
      <c r="D169" s="107">
        <v>400</v>
      </c>
      <c r="E169" s="36" t="s">
        <v>889</v>
      </c>
      <c r="F169" s="36"/>
      <c r="G169" s="36"/>
      <c r="H169" s="33" t="s">
        <v>60</v>
      </c>
      <c r="I169" s="107">
        <v>6227</v>
      </c>
      <c r="J169" s="107"/>
      <c r="K169" s="39">
        <v>2</v>
      </c>
      <c r="L169" s="40" t="s">
        <v>61</v>
      </c>
      <c r="M169" s="69" t="s">
        <v>890</v>
      </c>
      <c r="N169" s="62" t="s">
        <v>891</v>
      </c>
      <c r="O169" s="62" t="s">
        <v>64</v>
      </c>
      <c r="P169" s="46" t="s">
        <v>229</v>
      </c>
      <c r="Q169" s="62" t="s">
        <v>892</v>
      </c>
      <c r="R169" s="33" t="s">
        <v>893</v>
      </c>
      <c r="S169" s="45">
        <f t="shared" si="36"/>
        <v>302082</v>
      </c>
      <c r="T169" s="45">
        <v>294466.49</v>
      </c>
      <c r="U169" s="45">
        <v>7615.51</v>
      </c>
      <c r="V169" s="109" t="s">
        <v>894</v>
      </c>
      <c r="W169" s="63">
        <v>41856</v>
      </c>
      <c r="X169" s="48"/>
      <c r="Y169" s="109" t="s">
        <v>895</v>
      </c>
      <c r="Z169" s="45">
        <v>7503.94</v>
      </c>
      <c r="AA169" s="45"/>
      <c r="AB169" s="45">
        <f t="shared" si="40"/>
        <v>7503.94</v>
      </c>
      <c r="AC169" s="48"/>
      <c r="AD169" s="63"/>
      <c r="AE169" s="51">
        <f t="shared" si="37"/>
        <v>111.57000000000062</v>
      </c>
      <c r="AF169" s="52">
        <f t="shared" si="38"/>
        <v>4314.1699999999837</v>
      </c>
      <c r="AG169" s="52">
        <v>290152.32000000001</v>
      </c>
      <c r="AH169" s="52">
        <v>87045.69</v>
      </c>
      <c r="AI169" s="52">
        <f t="shared" si="34"/>
        <v>203106.63</v>
      </c>
      <c r="AJ169" s="124">
        <v>0</v>
      </c>
      <c r="AK169" s="45">
        <v>0</v>
      </c>
      <c r="AL169" s="52">
        <f t="shared" si="41"/>
        <v>0</v>
      </c>
      <c r="AM169" s="52">
        <f t="shared" si="42"/>
        <v>297656.26</v>
      </c>
      <c r="AN169" s="51">
        <f t="shared" si="43"/>
        <v>87045.69</v>
      </c>
      <c r="AO169" s="51">
        <f t="shared" si="44"/>
        <v>210610.57</v>
      </c>
      <c r="AP169" s="125" t="s">
        <v>83</v>
      </c>
      <c r="AQ169" s="52">
        <v>75039.39</v>
      </c>
      <c r="AR169" s="51">
        <v>0</v>
      </c>
      <c r="AS169" s="51">
        <f t="shared" si="39"/>
        <v>75039.39</v>
      </c>
      <c r="AT169" s="51">
        <f t="shared" si="35"/>
        <v>215036.31</v>
      </c>
      <c r="AU169" s="48"/>
      <c r="AV169" s="46"/>
    </row>
    <row r="170" spans="1:48" ht="33" hidden="1" x14ac:dyDescent="0.2">
      <c r="A170" s="32">
        <v>639</v>
      </c>
      <c r="B170" s="105" t="s">
        <v>896</v>
      </c>
      <c r="C170" s="106"/>
      <c r="D170" s="107">
        <v>412</v>
      </c>
      <c r="E170" s="36" t="s">
        <v>897</v>
      </c>
      <c r="F170" s="36"/>
      <c r="G170" s="36"/>
      <c r="H170" s="33" t="s">
        <v>209</v>
      </c>
      <c r="I170" s="107">
        <v>6222</v>
      </c>
      <c r="J170" s="107"/>
      <c r="K170" s="39">
        <v>2.2999999999999998</v>
      </c>
      <c r="L170" s="40" t="s">
        <v>210</v>
      </c>
      <c r="M170" s="69" t="s">
        <v>75</v>
      </c>
      <c r="N170" s="42" t="s">
        <v>76</v>
      </c>
      <c r="O170" s="41" t="s">
        <v>77</v>
      </c>
      <c r="P170" s="44" t="s">
        <v>898</v>
      </c>
      <c r="Q170" s="62" t="s">
        <v>899</v>
      </c>
      <c r="R170" s="33" t="s">
        <v>900</v>
      </c>
      <c r="S170" s="45">
        <f t="shared" si="36"/>
        <v>3830944</v>
      </c>
      <c r="T170" s="45">
        <v>3830944</v>
      </c>
      <c r="U170" s="45">
        <v>0</v>
      </c>
      <c r="V170" s="109" t="s">
        <v>847</v>
      </c>
      <c r="W170" s="63">
        <v>41872</v>
      </c>
      <c r="X170" s="48"/>
      <c r="Y170" s="109" t="s">
        <v>101</v>
      </c>
      <c r="Z170" s="45"/>
      <c r="AA170" s="45"/>
      <c r="AB170" s="45">
        <f t="shared" si="40"/>
        <v>0</v>
      </c>
      <c r="AC170" s="48"/>
      <c r="AD170" s="63"/>
      <c r="AE170" s="51">
        <f t="shared" si="37"/>
        <v>0</v>
      </c>
      <c r="AF170" s="52">
        <f t="shared" si="38"/>
        <v>67272.160000000149</v>
      </c>
      <c r="AG170" s="52">
        <v>3763671.84</v>
      </c>
      <c r="AH170" s="52">
        <f>1129101.56+1134616.62+1030329.98+469623.68</f>
        <v>3763671.8400000003</v>
      </c>
      <c r="AI170" s="52">
        <f t="shared" ref="AI170:AI227" si="45">SUM(AG170-AH170)</f>
        <v>-4.6566128730773926E-10</v>
      </c>
      <c r="AJ170" s="124">
        <v>0</v>
      </c>
      <c r="AK170" s="45">
        <v>0</v>
      </c>
      <c r="AL170" s="52">
        <f t="shared" si="41"/>
        <v>0</v>
      </c>
      <c r="AM170" s="52">
        <f t="shared" si="42"/>
        <v>3763671.84</v>
      </c>
      <c r="AN170" s="51">
        <f t="shared" si="43"/>
        <v>3763671.8400000003</v>
      </c>
      <c r="AO170" s="51">
        <f t="shared" si="44"/>
        <v>0</v>
      </c>
      <c r="AP170" s="125" t="s">
        <v>856</v>
      </c>
      <c r="AQ170" s="52">
        <v>973363.41</v>
      </c>
      <c r="AR170" s="51">
        <f>419193.34+380663.78+173506.29</f>
        <v>973363.41000000015</v>
      </c>
      <c r="AS170" s="51">
        <f t="shared" si="39"/>
        <v>-1.1641532182693481E-10</v>
      </c>
      <c r="AT170" s="126">
        <f t="shared" ref="AT170:AT227" si="46">SUM(S170-AN170)</f>
        <v>67272.159999999683</v>
      </c>
      <c r="AU170" s="48"/>
      <c r="AV170" s="46"/>
    </row>
    <row r="171" spans="1:48" ht="24.75" hidden="1" x14ac:dyDescent="0.2">
      <c r="A171" s="32">
        <v>639</v>
      </c>
      <c r="B171" s="105" t="s">
        <v>901</v>
      </c>
      <c r="C171" s="106"/>
      <c r="D171" s="107">
        <v>422</v>
      </c>
      <c r="E171" s="36" t="s">
        <v>902</v>
      </c>
      <c r="F171" s="36"/>
      <c r="G171" s="36"/>
      <c r="H171" s="33" t="s">
        <v>209</v>
      </c>
      <c r="I171" s="107">
        <v>6222</v>
      </c>
      <c r="J171" s="107"/>
      <c r="K171" s="39">
        <v>2.2999999999999998</v>
      </c>
      <c r="L171" s="40" t="s">
        <v>210</v>
      </c>
      <c r="M171" s="69" t="s">
        <v>75</v>
      </c>
      <c r="N171" s="42" t="s">
        <v>76</v>
      </c>
      <c r="O171" s="41" t="s">
        <v>77</v>
      </c>
      <c r="P171" s="46" t="s">
        <v>104</v>
      </c>
      <c r="Q171" s="62" t="s">
        <v>903</v>
      </c>
      <c r="R171" s="33" t="s">
        <v>904</v>
      </c>
      <c r="S171" s="45">
        <f t="shared" ref="S171:S228" si="47">T171+U171</f>
        <v>510640</v>
      </c>
      <c r="T171" s="45">
        <v>510640</v>
      </c>
      <c r="U171" s="45">
        <v>0</v>
      </c>
      <c r="V171" s="109" t="s">
        <v>847</v>
      </c>
      <c r="W171" s="63">
        <v>41872</v>
      </c>
      <c r="X171" s="48"/>
      <c r="Y171" s="109" t="s">
        <v>234</v>
      </c>
      <c r="Z171" s="45"/>
      <c r="AA171" s="45"/>
      <c r="AB171" s="45">
        <f t="shared" si="40"/>
        <v>0</v>
      </c>
      <c r="AC171" s="48"/>
      <c r="AD171" s="63"/>
      <c r="AE171" s="51">
        <f t="shared" ref="AE171:AE228" si="48">U171-Z171</f>
        <v>0</v>
      </c>
      <c r="AF171" s="52">
        <f t="shared" si="38"/>
        <v>6099.789999999979</v>
      </c>
      <c r="AG171" s="52">
        <v>504540.21</v>
      </c>
      <c r="AH171" s="52">
        <f>151362.07+180652.43+123910.83+48614.88</f>
        <v>504540.21</v>
      </c>
      <c r="AI171" s="52">
        <f t="shared" si="45"/>
        <v>0</v>
      </c>
      <c r="AJ171" s="124">
        <v>0</v>
      </c>
      <c r="AK171" s="45">
        <v>0</v>
      </c>
      <c r="AL171" s="52">
        <f t="shared" si="41"/>
        <v>0</v>
      </c>
      <c r="AM171" s="52">
        <f t="shared" si="42"/>
        <v>504540.21</v>
      </c>
      <c r="AN171" s="51">
        <f t="shared" si="43"/>
        <v>504540.21</v>
      </c>
      <c r="AO171" s="51">
        <f t="shared" si="44"/>
        <v>0</v>
      </c>
      <c r="AP171" s="125" t="s">
        <v>71</v>
      </c>
      <c r="AQ171" s="52">
        <v>130484.54</v>
      </c>
      <c r="AR171" s="51">
        <f>66743.51+45779.86+17961.17</f>
        <v>130484.54</v>
      </c>
      <c r="AS171" s="51">
        <f t="shared" si="39"/>
        <v>0</v>
      </c>
      <c r="AT171" s="126">
        <f t="shared" si="46"/>
        <v>6099.789999999979</v>
      </c>
      <c r="AU171" s="48"/>
      <c r="AV171" s="46"/>
    </row>
    <row r="172" spans="1:48" ht="24.75" hidden="1" x14ac:dyDescent="0.2">
      <c r="A172" s="32">
        <v>639</v>
      </c>
      <c r="B172" s="105" t="s">
        <v>905</v>
      </c>
      <c r="C172" s="106"/>
      <c r="D172" s="107">
        <v>424</v>
      </c>
      <c r="E172" s="36" t="s">
        <v>906</v>
      </c>
      <c r="F172" s="36"/>
      <c r="G172" s="36"/>
      <c r="H172" s="33" t="s">
        <v>209</v>
      </c>
      <c r="I172" s="107">
        <v>6222</v>
      </c>
      <c r="J172" s="107"/>
      <c r="K172" s="39">
        <v>2.2999999999999998</v>
      </c>
      <c r="L172" s="40" t="s">
        <v>210</v>
      </c>
      <c r="M172" s="69" t="s">
        <v>75</v>
      </c>
      <c r="N172" s="42" t="s">
        <v>76</v>
      </c>
      <c r="O172" s="41" t="s">
        <v>77</v>
      </c>
      <c r="P172" s="46" t="s">
        <v>443</v>
      </c>
      <c r="Q172" s="62" t="s">
        <v>680</v>
      </c>
      <c r="R172" s="33" t="s">
        <v>907</v>
      </c>
      <c r="S172" s="45">
        <f t="shared" si="47"/>
        <v>1053790</v>
      </c>
      <c r="T172" s="45">
        <v>1053790</v>
      </c>
      <c r="U172" s="45">
        <v>0</v>
      </c>
      <c r="V172" s="109" t="s">
        <v>908</v>
      </c>
      <c r="W172" s="63">
        <v>41880</v>
      </c>
      <c r="X172" s="48"/>
      <c r="Y172" s="109" t="s">
        <v>234</v>
      </c>
      <c r="Z172" s="45"/>
      <c r="AA172" s="45"/>
      <c r="AB172" s="45">
        <f t="shared" si="40"/>
        <v>0</v>
      </c>
      <c r="AC172" s="48"/>
      <c r="AD172" s="63"/>
      <c r="AE172" s="51">
        <f t="shared" si="48"/>
        <v>0</v>
      </c>
      <c r="AF172" s="52">
        <f t="shared" ref="AF172:AF229" si="49">T172-AG172-AJ172</f>
        <v>6787.4000000000233</v>
      </c>
      <c r="AG172" s="52">
        <v>1047002.6</v>
      </c>
      <c r="AH172" s="52">
        <f>314100.79+166735.71+396218.28+83416.23+86531.59</f>
        <v>1047002.6</v>
      </c>
      <c r="AI172" s="52">
        <f t="shared" si="45"/>
        <v>0</v>
      </c>
      <c r="AJ172" s="124">
        <v>0</v>
      </c>
      <c r="AK172" s="45">
        <v>0</v>
      </c>
      <c r="AL172" s="52">
        <f t="shared" si="41"/>
        <v>0</v>
      </c>
      <c r="AM172" s="52">
        <f t="shared" si="42"/>
        <v>1047002.6</v>
      </c>
      <c r="AN172" s="51">
        <f t="shared" si="43"/>
        <v>1047002.6</v>
      </c>
      <c r="AO172" s="51">
        <f t="shared" si="44"/>
        <v>0</v>
      </c>
      <c r="AP172" s="125" t="s">
        <v>71</v>
      </c>
      <c r="AQ172" s="52">
        <v>270776.53999999998</v>
      </c>
      <c r="AR172" s="51">
        <f>61601.86+146386.06+30818.81+31969.81</f>
        <v>270776.53999999998</v>
      </c>
      <c r="AS172" s="51">
        <f t="shared" si="39"/>
        <v>0</v>
      </c>
      <c r="AT172" s="126">
        <f t="shared" si="46"/>
        <v>6787.4000000000233</v>
      </c>
      <c r="AU172" s="48"/>
      <c r="AV172" s="46"/>
    </row>
    <row r="173" spans="1:48" ht="27" hidden="1" x14ac:dyDescent="0.2">
      <c r="A173" s="32">
        <v>636</v>
      </c>
      <c r="B173" s="105" t="s">
        <v>909</v>
      </c>
      <c r="C173" s="106"/>
      <c r="D173" s="107">
        <v>439</v>
      </c>
      <c r="E173" s="36" t="s">
        <v>910</v>
      </c>
      <c r="F173" s="36"/>
      <c r="G173" s="36"/>
      <c r="H173" s="33" t="s">
        <v>809</v>
      </c>
      <c r="I173" s="107">
        <v>6122</v>
      </c>
      <c r="J173" s="107"/>
      <c r="K173" s="39">
        <v>3</v>
      </c>
      <c r="L173" s="118" t="s">
        <v>810</v>
      </c>
      <c r="M173" s="69" t="s">
        <v>117</v>
      </c>
      <c r="N173" s="62" t="s">
        <v>811</v>
      </c>
      <c r="O173" s="62" t="s">
        <v>812</v>
      </c>
      <c r="P173" s="46" t="s">
        <v>299</v>
      </c>
      <c r="Q173" s="62" t="s">
        <v>911</v>
      </c>
      <c r="R173" s="33" t="s">
        <v>912</v>
      </c>
      <c r="S173" s="45">
        <f t="shared" si="47"/>
        <v>2192868</v>
      </c>
      <c r="T173" s="45">
        <v>2192868</v>
      </c>
      <c r="U173" s="45">
        <v>0</v>
      </c>
      <c r="V173" s="109" t="s">
        <v>913</v>
      </c>
      <c r="W173" s="63">
        <v>41877</v>
      </c>
      <c r="X173" s="48"/>
      <c r="Y173" s="109" t="s">
        <v>234</v>
      </c>
      <c r="Z173" s="45"/>
      <c r="AA173" s="45"/>
      <c r="AB173" s="45">
        <f t="shared" si="40"/>
        <v>0</v>
      </c>
      <c r="AC173" s="48"/>
      <c r="AD173" s="63"/>
      <c r="AE173" s="51">
        <f t="shared" si="48"/>
        <v>0</v>
      </c>
      <c r="AF173" s="52">
        <f t="shared" si="49"/>
        <v>11528.990000000224</v>
      </c>
      <c r="AG173" s="52">
        <v>2181339.0099999998</v>
      </c>
      <c r="AH173" s="52">
        <f>654401.7+1259633.06+267304.24</f>
        <v>2181339</v>
      </c>
      <c r="AI173" s="52">
        <f t="shared" si="45"/>
        <v>9.9999997764825821E-3</v>
      </c>
      <c r="AJ173" s="124">
        <v>0</v>
      </c>
      <c r="AK173" s="45">
        <v>0</v>
      </c>
      <c r="AL173" s="52">
        <f t="shared" si="41"/>
        <v>0</v>
      </c>
      <c r="AM173" s="52">
        <f t="shared" si="42"/>
        <v>2181339.0099999998</v>
      </c>
      <c r="AN173" s="51">
        <f t="shared" si="43"/>
        <v>2181339</v>
      </c>
      <c r="AO173" s="51">
        <f t="shared" si="44"/>
        <v>9.9999997764825821E-3</v>
      </c>
      <c r="AP173" s="125" t="s">
        <v>71</v>
      </c>
      <c r="AQ173" s="52">
        <v>564139.4</v>
      </c>
      <c r="AR173" s="51">
        <f>465381.68+98757.72</f>
        <v>564139.4</v>
      </c>
      <c r="AS173" s="51">
        <f t="shared" si="39"/>
        <v>0</v>
      </c>
      <c r="AT173" s="126">
        <f t="shared" si="46"/>
        <v>11529</v>
      </c>
      <c r="AU173" s="48"/>
      <c r="AV173" s="46"/>
    </row>
    <row r="174" spans="1:48" ht="24.75" hidden="1" x14ac:dyDescent="0.2">
      <c r="A174" s="32">
        <v>639</v>
      </c>
      <c r="B174" s="105" t="s">
        <v>914</v>
      </c>
      <c r="C174" s="106"/>
      <c r="D174" s="107">
        <v>429</v>
      </c>
      <c r="E174" s="36" t="s">
        <v>915</v>
      </c>
      <c r="F174" s="36"/>
      <c r="G174" s="36"/>
      <c r="H174" s="33" t="s">
        <v>209</v>
      </c>
      <c r="I174" s="107">
        <v>6222</v>
      </c>
      <c r="J174" s="107"/>
      <c r="K174" s="39">
        <v>2.2999999999999998</v>
      </c>
      <c r="L174" s="40" t="s">
        <v>210</v>
      </c>
      <c r="M174" s="69" t="s">
        <v>75</v>
      </c>
      <c r="N174" s="42" t="s">
        <v>76</v>
      </c>
      <c r="O174" s="41" t="s">
        <v>77</v>
      </c>
      <c r="P174" s="46" t="s">
        <v>104</v>
      </c>
      <c r="Q174" s="62" t="s">
        <v>916</v>
      </c>
      <c r="R174" s="33" t="s">
        <v>917</v>
      </c>
      <c r="S174" s="45">
        <f t="shared" si="47"/>
        <v>850000</v>
      </c>
      <c r="T174" s="45">
        <v>850000</v>
      </c>
      <c r="U174" s="45">
        <v>0</v>
      </c>
      <c r="V174" s="109" t="s">
        <v>918</v>
      </c>
      <c r="W174" s="63">
        <v>41885</v>
      </c>
      <c r="X174" s="48"/>
      <c r="Y174" s="109" t="s">
        <v>234</v>
      </c>
      <c r="Z174" s="45"/>
      <c r="AA174" s="45"/>
      <c r="AB174" s="45">
        <f t="shared" si="40"/>
        <v>0</v>
      </c>
      <c r="AC174" s="48"/>
      <c r="AD174" s="63"/>
      <c r="AE174" s="51">
        <f t="shared" si="48"/>
        <v>0</v>
      </c>
      <c r="AF174" s="52">
        <f t="shared" si="49"/>
        <v>13119.280000000028</v>
      </c>
      <c r="AG174" s="52">
        <v>836880.72</v>
      </c>
      <c r="AH174" s="52">
        <f>251064.22+482572.03</f>
        <v>733636.25</v>
      </c>
      <c r="AI174" s="52">
        <f t="shared" si="45"/>
        <v>103244.46999999997</v>
      </c>
      <c r="AJ174" s="124">
        <v>0</v>
      </c>
      <c r="AK174" s="45">
        <v>0</v>
      </c>
      <c r="AL174" s="52">
        <f t="shared" si="41"/>
        <v>0</v>
      </c>
      <c r="AM174" s="52">
        <f t="shared" si="42"/>
        <v>836880.72</v>
      </c>
      <c r="AN174" s="51">
        <f t="shared" si="43"/>
        <v>733636.25</v>
      </c>
      <c r="AO174" s="51">
        <f t="shared" si="44"/>
        <v>103244.46999999997</v>
      </c>
      <c r="AP174" s="125" t="s">
        <v>333</v>
      </c>
      <c r="AQ174" s="52">
        <v>216434.67</v>
      </c>
      <c r="AR174" s="51">
        <v>178290.16</v>
      </c>
      <c r="AS174" s="51">
        <f t="shared" si="39"/>
        <v>38144.510000000009</v>
      </c>
      <c r="AT174" s="51">
        <f t="shared" si="46"/>
        <v>116363.75</v>
      </c>
      <c r="AU174" s="48"/>
      <c r="AV174" s="46"/>
    </row>
    <row r="175" spans="1:48" ht="24.75" hidden="1" x14ac:dyDescent="0.2">
      <c r="A175" s="32">
        <v>639</v>
      </c>
      <c r="B175" s="105" t="s">
        <v>920</v>
      </c>
      <c r="C175" s="106"/>
      <c r="D175" s="107">
        <v>420</v>
      </c>
      <c r="E175" s="36" t="s">
        <v>921</v>
      </c>
      <c r="F175" s="36"/>
      <c r="G175" s="36"/>
      <c r="H175" s="33" t="s">
        <v>209</v>
      </c>
      <c r="I175" s="107">
        <v>6222</v>
      </c>
      <c r="J175" s="107"/>
      <c r="K175" s="39">
        <v>2.2999999999999998</v>
      </c>
      <c r="L175" s="40" t="s">
        <v>210</v>
      </c>
      <c r="M175" s="69" t="s">
        <v>75</v>
      </c>
      <c r="N175" s="42" t="s">
        <v>76</v>
      </c>
      <c r="O175" s="41" t="s">
        <v>77</v>
      </c>
      <c r="P175" s="44" t="s">
        <v>898</v>
      </c>
      <c r="Q175" s="62" t="s">
        <v>922</v>
      </c>
      <c r="R175" s="33" t="s">
        <v>923</v>
      </c>
      <c r="S175" s="45">
        <f t="shared" si="47"/>
        <v>411000</v>
      </c>
      <c r="T175" s="45">
        <v>411000</v>
      </c>
      <c r="U175" s="45">
        <v>0</v>
      </c>
      <c r="V175" s="109" t="s">
        <v>847</v>
      </c>
      <c r="W175" s="63">
        <v>41872</v>
      </c>
      <c r="X175" s="48"/>
      <c r="Y175" s="109" t="s">
        <v>234</v>
      </c>
      <c r="Z175" s="45"/>
      <c r="AA175" s="45"/>
      <c r="AB175" s="45">
        <f t="shared" si="40"/>
        <v>0</v>
      </c>
      <c r="AC175" s="48"/>
      <c r="AD175" s="63"/>
      <c r="AE175" s="51">
        <f t="shared" si="48"/>
        <v>0</v>
      </c>
      <c r="AF175" s="52">
        <f t="shared" si="49"/>
        <v>22933.140000000014</v>
      </c>
      <c r="AG175" s="52">
        <v>388066.86</v>
      </c>
      <c r="AH175" s="52">
        <f>116420.06+59847.74+54045.35+79889.86+77863.85</f>
        <v>388066.86</v>
      </c>
      <c r="AI175" s="52">
        <f t="shared" si="45"/>
        <v>0</v>
      </c>
      <c r="AJ175" s="124">
        <v>0</v>
      </c>
      <c r="AK175" s="45">
        <v>0</v>
      </c>
      <c r="AL175" s="52">
        <f t="shared" si="41"/>
        <v>0</v>
      </c>
      <c r="AM175" s="52">
        <f t="shared" si="42"/>
        <v>388066.86</v>
      </c>
      <c r="AN175" s="51">
        <f t="shared" si="43"/>
        <v>388066.86</v>
      </c>
      <c r="AO175" s="51">
        <f t="shared" si="44"/>
        <v>0</v>
      </c>
      <c r="AP175" s="125" t="s">
        <v>872</v>
      </c>
      <c r="AQ175" s="52">
        <v>100362.12</v>
      </c>
      <c r="AR175" s="51">
        <f>22111.23+19967.5+29515.96+28767.43</f>
        <v>100362.12</v>
      </c>
      <c r="AS175" s="51">
        <f t="shared" si="39"/>
        <v>0</v>
      </c>
      <c r="AT175" s="126">
        <f t="shared" si="46"/>
        <v>22933.140000000014</v>
      </c>
      <c r="AU175" s="108" t="s">
        <v>924</v>
      </c>
      <c r="AV175" s="46"/>
    </row>
    <row r="176" spans="1:48" ht="24.75" hidden="1" x14ac:dyDescent="0.2">
      <c r="A176" s="32">
        <v>639</v>
      </c>
      <c r="B176" s="105" t="s">
        <v>925</v>
      </c>
      <c r="C176" s="106"/>
      <c r="D176" s="107">
        <v>367</v>
      </c>
      <c r="E176" s="36" t="s">
        <v>926</v>
      </c>
      <c r="F176" s="36"/>
      <c r="G176" s="36"/>
      <c r="H176" s="33" t="s">
        <v>875</v>
      </c>
      <c r="I176" s="107">
        <v>6222</v>
      </c>
      <c r="J176" s="107"/>
      <c r="K176" s="39">
        <v>2.5</v>
      </c>
      <c r="L176" s="40" t="s">
        <v>876</v>
      </c>
      <c r="M176" s="69" t="s">
        <v>75</v>
      </c>
      <c r="N176" s="42" t="s">
        <v>76</v>
      </c>
      <c r="O176" s="62" t="s">
        <v>314</v>
      </c>
      <c r="P176" s="46" t="s">
        <v>229</v>
      </c>
      <c r="Q176" s="62" t="s">
        <v>730</v>
      </c>
      <c r="R176" s="33" t="s">
        <v>927</v>
      </c>
      <c r="S176" s="45">
        <f t="shared" si="47"/>
        <v>14179279</v>
      </c>
      <c r="T176" s="45">
        <v>14179279</v>
      </c>
      <c r="U176" s="45">
        <v>0</v>
      </c>
      <c r="V176" s="109" t="s">
        <v>878</v>
      </c>
      <c r="W176" s="63">
        <v>41872</v>
      </c>
      <c r="X176" s="48"/>
      <c r="Y176" s="109" t="s">
        <v>234</v>
      </c>
      <c r="Z176" s="45"/>
      <c r="AA176" s="45"/>
      <c r="AB176" s="45">
        <f t="shared" si="40"/>
        <v>0</v>
      </c>
      <c r="AC176" s="48"/>
      <c r="AD176" s="63"/>
      <c r="AE176" s="51">
        <f t="shared" si="48"/>
        <v>0</v>
      </c>
      <c r="AF176" s="52">
        <f t="shared" si="49"/>
        <v>653849.83000000007</v>
      </c>
      <c r="AG176" s="52">
        <v>13525429.17</v>
      </c>
      <c r="AH176" s="52">
        <f>4057628.75+1011925.86+703529.5+860927.7+1912243.92+1899114.42+656807+1474171.19+949080.83</f>
        <v>13525429.17</v>
      </c>
      <c r="AI176" s="52">
        <f t="shared" si="45"/>
        <v>0</v>
      </c>
      <c r="AJ176" s="124">
        <v>0</v>
      </c>
      <c r="AK176" s="45">
        <v>0</v>
      </c>
      <c r="AL176" s="52">
        <f t="shared" si="41"/>
        <v>0</v>
      </c>
      <c r="AM176" s="52">
        <f t="shared" si="42"/>
        <v>13525429.17</v>
      </c>
      <c r="AN176" s="51">
        <f t="shared" si="43"/>
        <v>13525429.17</v>
      </c>
      <c r="AO176" s="51">
        <f t="shared" si="44"/>
        <v>0</v>
      </c>
      <c r="AP176" s="125" t="s">
        <v>928</v>
      </c>
      <c r="AQ176" s="52">
        <v>3497955.82</v>
      </c>
      <c r="AR176" s="51">
        <f>373864.24+259924.69+318076.74+706494.06+701643.26+242662.69+544644.53+350645.61</f>
        <v>3497955.82</v>
      </c>
      <c r="AS176" s="51">
        <f t="shared" si="39"/>
        <v>0</v>
      </c>
      <c r="AT176" s="126">
        <f t="shared" si="46"/>
        <v>653849.83000000007</v>
      </c>
      <c r="AU176" s="48"/>
      <c r="AV176" s="46"/>
    </row>
    <row r="177" spans="1:48" ht="24.75" hidden="1" x14ac:dyDescent="0.2">
      <c r="A177" s="32">
        <v>639</v>
      </c>
      <c r="B177" s="105" t="s">
        <v>929</v>
      </c>
      <c r="C177" s="106"/>
      <c r="D177" s="107">
        <v>433</v>
      </c>
      <c r="E177" s="36" t="s">
        <v>930</v>
      </c>
      <c r="F177" s="36"/>
      <c r="G177" s="36"/>
      <c r="H177" s="33" t="s">
        <v>701</v>
      </c>
      <c r="I177" s="107">
        <v>6222</v>
      </c>
      <c r="J177" s="107"/>
      <c r="K177" s="39">
        <v>1.3</v>
      </c>
      <c r="L177" s="118" t="s">
        <v>931</v>
      </c>
      <c r="M177" s="69" t="s">
        <v>75</v>
      </c>
      <c r="N177" s="42" t="s">
        <v>76</v>
      </c>
      <c r="O177" s="62" t="s">
        <v>237</v>
      </c>
      <c r="P177" s="46" t="s">
        <v>331</v>
      </c>
      <c r="Q177" s="62" t="s">
        <v>886</v>
      </c>
      <c r="R177" s="33" t="s">
        <v>932</v>
      </c>
      <c r="S177" s="45">
        <f t="shared" si="47"/>
        <v>490962.18</v>
      </c>
      <c r="T177" s="45">
        <v>490962.18</v>
      </c>
      <c r="U177" s="45">
        <v>0</v>
      </c>
      <c r="V177" s="109" t="s">
        <v>933</v>
      </c>
      <c r="W177" s="63">
        <v>41883</v>
      </c>
      <c r="X177" s="48"/>
      <c r="Y177" s="109" t="s">
        <v>234</v>
      </c>
      <c r="Z177" s="45"/>
      <c r="AA177" s="45"/>
      <c r="AB177" s="45">
        <f t="shared" si="40"/>
        <v>0</v>
      </c>
      <c r="AC177" s="48"/>
      <c r="AD177" s="63"/>
      <c r="AE177" s="51">
        <f t="shared" si="48"/>
        <v>0</v>
      </c>
      <c r="AF177" s="52">
        <f t="shared" si="49"/>
        <v>15771.130000000005</v>
      </c>
      <c r="AG177" s="52">
        <v>475191.05</v>
      </c>
      <c r="AH177" s="52">
        <f>142557.32+266948.27+65685.46</f>
        <v>475191.05000000005</v>
      </c>
      <c r="AI177" s="52">
        <f t="shared" si="45"/>
        <v>-5.8207660913467407E-11</v>
      </c>
      <c r="AJ177" s="124">
        <v>0</v>
      </c>
      <c r="AK177" s="45">
        <v>0</v>
      </c>
      <c r="AL177" s="52">
        <f t="shared" si="41"/>
        <v>0</v>
      </c>
      <c r="AM177" s="52">
        <f t="shared" si="42"/>
        <v>475191.05</v>
      </c>
      <c r="AN177" s="51">
        <f t="shared" si="43"/>
        <v>475191.05000000005</v>
      </c>
      <c r="AO177" s="51">
        <f t="shared" si="44"/>
        <v>0</v>
      </c>
      <c r="AP177" s="125" t="s">
        <v>934</v>
      </c>
      <c r="AQ177" s="52">
        <v>122894.24</v>
      </c>
      <c r="AR177" s="51">
        <f>98626.21+24268.03</f>
        <v>122894.24</v>
      </c>
      <c r="AS177" s="51">
        <f t="shared" si="39"/>
        <v>0</v>
      </c>
      <c r="AT177" s="51">
        <f t="shared" si="46"/>
        <v>15771.129999999946</v>
      </c>
      <c r="AU177" s="48"/>
      <c r="AV177" s="46"/>
    </row>
    <row r="178" spans="1:48" ht="24.75" hidden="1" x14ac:dyDescent="0.2">
      <c r="A178" s="32">
        <v>636</v>
      </c>
      <c r="B178" s="105" t="s">
        <v>935</v>
      </c>
      <c r="C178" s="106"/>
      <c r="D178" s="107">
        <v>461</v>
      </c>
      <c r="E178" s="36" t="s">
        <v>936</v>
      </c>
      <c r="F178" s="36"/>
      <c r="G178" s="36"/>
      <c r="H178" s="33" t="s">
        <v>60</v>
      </c>
      <c r="I178" s="107">
        <v>6242</v>
      </c>
      <c r="J178" s="107"/>
      <c r="K178" s="39">
        <v>2</v>
      </c>
      <c r="L178" s="40" t="s">
        <v>61</v>
      </c>
      <c r="M178" s="69" t="s">
        <v>108</v>
      </c>
      <c r="N178" s="42" t="s">
        <v>76</v>
      </c>
      <c r="O178" s="62" t="s">
        <v>88</v>
      </c>
      <c r="P178" s="46" t="s">
        <v>141</v>
      </c>
      <c r="Q178" s="62" t="s">
        <v>937</v>
      </c>
      <c r="R178" s="33" t="s">
        <v>938</v>
      </c>
      <c r="S178" s="45">
        <f t="shared" si="47"/>
        <v>1170066.3599999999</v>
      </c>
      <c r="T178" s="45">
        <v>1140568.8899999999</v>
      </c>
      <c r="U178" s="45">
        <v>29497.47</v>
      </c>
      <c r="V178" s="109" t="s">
        <v>919</v>
      </c>
      <c r="W178" s="63">
        <v>41883</v>
      </c>
      <c r="X178" s="48"/>
      <c r="Y178" s="109" t="s">
        <v>282</v>
      </c>
      <c r="Z178" s="45">
        <v>28022.880000000001</v>
      </c>
      <c r="AA178" s="45">
        <f>11600+10943.4+4599.46+830</f>
        <v>27972.86</v>
      </c>
      <c r="AB178" s="45">
        <f t="shared" si="40"/>
        <v>50.020000000000437</v>
      </c>
      <c r="AC178" s="48" t="s">
        <v>102</v>
      </c>
      <c r="AD178" s="63">
        <v>42144</v>
      </c>
      <c r="AE178" s="51">
        <f t="shared" si="48"/>
        <v>1474.5900000000001</v>
      </c>
      <c r="AF178" s="52">
        <f t="shared" si="49"/>
        <v>57017.689999999944</v>
      </c>
      <c r="AG178" s="52">
        <v>1083551.2</v>
      </c>
      <c r="AH178" s="52">
        <v>953438.87</v>
      </c>
      <c r="AI178" s="52">
        <f t="shared" si="45"/>
        <v>130112.32999999996</v>
      </c>
      <c r="AJ178" s="124">
        <v>0</v>
      </c>
      <c r="AK178" s="45">
        <v>0</v>
      </c>
      <c r="AL178" s="52">
        <f t="shared" si="41"/>
        <v>0</v>
      </c>
      <c r="AM178" s="52">
        <f t="shared" si="42"/>
        <v>1111574.0799999998</v>
      </c>
      <c r="AN178" s="51">
        <f t="shared" si="43"/>
        <v>981411.73</v>
      </c>
      <c r="AO178" s="51">
        <f t="shared" si="44"/>
        <v>130162.34999999986</v>
      </c>
      <c r="AP178" s="125" t="s">
        <v>939</v>
      </c>
      <c r="AQ178" s="52">
        <v>0</v>
      </c>
      <c r="AR178" s="51">
        <v>0</v>
      </c>
      <c r="AS178" s="51">
        <f t="shared" si="39"/>
        <v>0</v>
      </c>
      <c r="AT178" s="51">
        <f t="shared" si="46"/>
        <v>188654.62999999989</v>
      </c>
      <c r="AU178" s="48"/>
      <c r="AV178" s="46"/>
    </row>
    <row r="179" spans="1:48" ht="41.25" hidden="1" x14ac:dyDescent="0.2">
      <c r="A179" s="32">
        <v>639</v>
      </c>
      <c r="B179" s="105" t="s">
        <v>940</v>
      </c>
      <c r="C179" s="106"/>
      <c r="D179" s="107">
        <v>425</v>
      </c>
      <c r="E179" s="36" t="s">
        <v>941</v>
      </c>
      <c r="F179" s="36"/>
      <c r="G179" s="36"/>
      <c r="H179" s="33" t="s">
        <v>209</v>
      </c>
      <c r="I179" s="107">
        <v>6222</v>
      </c>
      <c r="J179" s="107"/>
      <c r="K179" s="39">
        <v>2.2999999999999998</v>
      </c>
      <c r="L179" s="40" t="s">
        <v>210</v>
      </c>
      <c r="M179" s="69" t="s">
        <v>75</v>
      </c>
      <c r="N179" s="42" t="s">
        <v>63</v>
      </c>
      <c r="O179" s="41" t="s">
        <v>77</v>
      </c>
      <c r="P179" s="46" t="s">
        <v>104</v>
      </c>
      <c r="Q179" s="62" t="s">
        <v>942</v>
      </c>
      <c r="R179" s="33" t="s">
        <v>943</v>
      </c>
      <c r="S179" s="45">
        <f t="shared" si="47"/>
        <v>580000</v>
      </c>
      <c r="T179" s="45">
        <v>580000</v>
      </c>
      <c r="U179" s="45">
        <v>0</v>
      </c>
      <c r="V179" s="109" t="s">
        <v>908</v>
      </c>
      <c r="W179" s="63">
        <v>41880</v>
      </c>
      <c r="X179" s="48"/>
      <c r="Y179" s="109" t="s">
        <v>234</v>
      </c>
      <c r="Z179" s="45"/>
      <c r="AA179" s="45"/>
      <c r="AB179" s="45">
        <f t="shared" si="40"/>
        <v>0</v>
      </c>
      <c r="AC179" s="48"/>
      <c r="AD179" s="63"/>
      <c r="AE179" s="51">
        <f t="shared" si="48"/>
        <v>0</v>
      </c>
      <c r="AF179" s="52">
        <f t="shared" si="49"/>
        <v>3480</v>
      </c>
      <c r="AG179" s="52">
        <v>576520</v>
      </c>
      <c r="AH179" s="52">
        <f>172956+244478.96+159085.04</f>
        <v>576520</v>
      </c>
      <c r="AI179" s="52">
        <f t="shared" si="45"/>
        <v>0</v>
      </c>
      <c r="AJ179" s="124">
        <v>0</v>
      </c>
      <c r="AK179" s="45">
        <v>0</v>
      </c>
      <c r="AL179" s="52">
        <f t="shared" si="41"/>
        <v>0</v>
      </c>
      <c r="AM179" s="52">
        <f t="shared" si="42"/>
        <v>576520</v>
      </c>
      <c r="AN179" s="51">
        <f t="shared" si="43"/>
        <v>576520</v>
      </c>
      <c r="AO179" s="51">
        <f t="shared" si="44"/>
        <v>0</v>
      </c>
      <c r="AP179" s="125" t="s">
        <v>205</v>
      </c>
      <c r="AQ179" s="52">
        <v>149100</v>
      </c>
      <c r="AR179" s="51">
        <f>90324.74+58775.26</f>
        <v>149100</v>
      </c>
      <c r="AS179" s="51">
        <f t="shared" si="39"/>
        <v>0</v>
      </c>
      <c r="AT179" s="126">
        <f t="shared" si="46"/>
        <v>3480</v>
      </c>
      <c r="AU179" s="48"/>
      <c r="AV179" s="46"/>
    </row>
    <row r="180" spans="1:48" ht="24.75" hidden="1" x14ac:dyDescent="0.2">
      <c r="A180" s="32">
        <v>639</v>
      </c>
      <c r="B180" s="105" t="s">
        <v>944</v>
      </c>
      <c r="C180" s="106"/>
      <c r="D180" s="107">
        <v>426</v>
      </c>
      <c r="E180" s="36" t="s">
        <v>945</v>
      </c>
      <c r="F180" s="36"/>
      <c r="G180" s="36"/>
      <c r="H180" s="33" t="s">
        <v>209</v>
      </c>
      <c r="I180" s="107">
        <v>6222</v>
      </c>
      <c r="J180" s="107"/>
      <c r="K180" s="39">
        <v>2.2999999999999998</v>
      </c>
      <c r="L180" s="40" t="s">
        <v>210</v>
      </c>
      <c r="M180" s="69" t="s">
        <v>75</v>
      </c>
      <c r="N180" s="42" t="s">
        <v>76</v>
      </c>
      <c r="O180" s="41" t="s">
        <v>77</v>
      </c>
      <c r="P180" s="46" t="s">
        <v>821</v>
      </c>
      <c r="Q180" s="62" t="s">
        <v>946</v>
      </c>
      <c r="R180" s="33" t="s">
        <v>947</v>
      </c>
      <c r="S180" s="45">
        <f t="shared" si="47"/>
        <v>382800</v>
      </c>
      <c r="T180" s="45">
        <v>382800</v>
      </c>
      <c r="U180" s="45">
        <v>0</v>
      </c>
      <c r="V180" s="109" t="s">
        <v>908</v>
      </c>
      <c r="W180" s="63">
        <v>41880</v>
      </c>
      <c r="X180" s="48"/>
      <c r="Y180" s="109" t="s">
        <v>234</v>
      </c>
      <c r="Z180" s="45"/>
      <c r="AA180" s="45"/>
      <c r="AB180" s="45">
        <f t="shared" si="40"/>
        <v>0</v>
      </c>
      <c r="AC180" s="48"/>
      <c r="AD180" s="63"/>
      <c r="AE180" s="51">
        <f t="shared" si="48"/>
        <v>0</v>
      </c>
      <c r="AF180" s="52">
        <f t="shared" si="49"/>
        <v>3479.109999999986</v>
      </c>
      <c r="AG180" s="52">
        <v>379320.89</v>
      </c>
      <c r="AH180" s="52">
        <f>113796.27+100287.41+82102.57</f>
        <v>296186.25</v>
      </c>
      <c r="AI180" s="52">
        <f t="shared" si="45"/>
        <v>83134.640000000014</v>
      </c>
      <c r="AJ180" s="124">
        <v>0</v>
      </c>
      <c r="AK180" s="45">
        <v>0</v>
      </c>
      <c r="AL180" s="52">
        <f t="shared" si="41"/>
        <v>0</v>
      </c>
      <c r="AM180" s="52">
        <f t="shared" si="42"/>
        <v>379320.89</v>
      </c>
      <c r="AN180" s="51">
        <f t="shared" si="43"/>
        <v>296186.25</v>
      </c>
      <c r="AO180" s="51">
        <f t="shared" si="44"/>
        <v>83134.640000000014</v>
      </c>
      <c r="AP180" s="125" t="s">
        <v>948</v>
      </c>
      <c r="AQ180" s="52">
        <v>98100.23</v>
      </c>
      <c r="AR180" s="51">
        <f>37052+30333.47</f>
        <v>67385.47</v>
      </c>
      <c r="AS180" s="51">
        <f t="shared" si="39"/>
        <v>30714.759999999995</v>
      </c>
      <c r="AT180" s="51">
        <f t="shared" si="46"/>
        <v>86613.75</v>
      </c>
      <c r="AU180" s="48"/>
      <c r="AV180" s="46"/>
    </row>
    <row r="181" spans="1:48" ht="24.75" hidden="1" x14ac:dyDescent="0.2">
      <c r="A181" s="32">
        <v>636</v>
      </c>
      <c r="B181" s="105" t="s">
        <v>949</v>
      </c>
      <c r="C181" s="106"/>
      <c r="D181" s="107">
        <v>454</v>
      </c>
      <c r="E181" s="36" t="s">
        <v>950</v>
      </c>
      <c r="F181" s="36"/>
      <c r="G181" s="36" t="s">
        <v>951</v>
      </c>
      <c r="H181" s="33" t="s">
        <v>60</v>
      </c>
      <c r="I181" s="107">
        <v>6242</v>
      </c>
      <c r="J181" s="107"/>
      <c r="K181" s="39">
        <v>2</v>
      </c>
      <c r="L181" s="40" t="s">
        <v>61</v>
      </c>
      <c r="M181" s="69" t="s">
        <v>108</v>
      </c>
      <c r="N181" s="42" t="s">
        <v>76</v>
      </c>
      <c r="O181" s="62" t="s">
        <v>88</v>
      </c>
      <c r="P181" s="46" t="s">
        <v>104</v>
      </c>
      <c r="Q181" s="62" t="s">
        <v>952</v>
      </c>
      <c r="R181" s="33" t="s">
        <v>953</v>
      </c>
      <c r="S181" s="45">
        <f t="shared" si="47"/>
        <v>1413522.04</v>
      </c>
      <c r="T181" s="45">
        <f>1389564.05-0.01</f>
        <v>1389564.04</v>
      </c>
      <c r="U181" s="45">
        <v>23958</v>
      </c>
      <c r="V181" s="109" t="s">
        <v>919</v>
      </c>
      <c r="W181" s="63">
        <v>41883</v>
      </c>
      <c r="X181" s="48"/>
      <c r="Y181" s="109" t="s">
        <v>246</v>
      </c>
      <c r="Z181" s="45">
        <v>23958</v>
      </c>
      <c r="AA181" s="45">
        <f>5800+5471.7+5800+5800+1086.3</f>
        <v>23958</v>
      </c>
      <c r="AB181" s="45">
        <f t="shared" si="40"/>
        <v>0</v>
      </c>
      <c r="AC181" s="48" t="s">
        <v>93</v>
      </c>
      <c r="AD181" s="63">
        <v>41976</v>
      </c>
      <c r="AE181" s="51">
        <f t="shared" si="48"/>
        <v>0</v>
      </c>
      <c r="AF181" s="52">
        <f t="shared" si="49"/>
        <v>0</v>
      </c>
      <c r="AG181" s="52">
        <f>1389564.05-0.01</f>
        <v>1389564.04</v>
      </c>
      <c r="AH181" s="52">
        <f>416869.21+713401.96+259292.87</f>
        <v>1389564.04</v>
      </c>
      <c r="AI181" s="52">
        <f t="shared" si="45"/>
        <v>0</v>
      </c>
      <c r="AJ181" s="124">
        <v>0</v>
      </c>
      <c r="AK181" s="45">
        <v>0</v>
      </c>
      <c r="AL181" s="52">
        <f t="shared" si="41"/>
        <v>0</v>
      </c>
      <c r="AM181" s="52">
        <f t="shared" si="42"/>
        <v>1413522.04</v>
      </c>
      <c r="AN181" s="51">
        <f t="shared" si="43"/>
        <v>1413522.04</v>
      </c>
      <c r="AO181" s="51">
        <f t="shared" si="44"/>
        <v>0</v>
      </c>
      <c r="AP181" s="125" t="s">
        <v>205</v>
      </c>
      <c r="AQ181" s="52">
        <v>359370.01</v>
      </c>
      <c r="AR181" s="51">
        <f>263572.15+95797.86</f>
        <v>359370.01</v>
      </c>
      <c r="AS181" s="51">
        <f t="shared" si="39"/>
        <v>0</v>
      </c>
      <c r="AT181" s="126">
        <f t="shared" si="46"/>
        <v>0</v>
      </c>
      <c r="AU181" s="48"/>
      <c r="AV181" s="46"/>
    </row>
    <row r="182" spans="1:48" ht="33" hidden="1" x14ac:dyDescent="0.2">
      <c r="A182" s="32">
        <v>636</v>
      </c>
      <c r="B182" s="105" t="s">
        <v>954</v>
      </c>
      <c r="C182" s="106"/>
      <c r="D182" s="107">
        <v>452</v>
      </c>
      <c r="E182" s="36" t="s">
        <v>955</v>
      </c>
      <c r="F182" s="37" t="s">
        <v>59</v>
      </c>
      <c r="G182" s="36" t="s">
        <v>956</v>
      </c>
      <c r="H182" s="33" t="s">
        <v>60</v>
      </c>
      <c r="I182" s="107">
        <v>6122</v>
      </c>
      <c r="J182" s="107"/>
      <c r="K182" s="39">
        <v>2</v>
      </c>
      <c r="L182" s="40" t="s">
        <v>61</v>
      </c>
      <c r="M182" s="69" t="s">
        <v>278</v>
      </c>
      <c r="N182" s="42" t="s">
        <v>76</v>
      </c>
      <c r="O182" s="62" t="s">
        <v>279</v>
      </c>
      <c r="P182" s="46" t="s">
        <v>65</v>
      </c>
      <c r="Q182" s="62" t="s">
        <v>957</v>
      </c>
      <c r="R182" s="33" t="s">
        <v>958</v>
      </c>
      <c r="S182" s="45">
        <f t="shared" si="47"/>
        <v>1630150.19</v>
      </c>
      <c r="T182" s="45">
        <f>1624689.49-34909.49</f>
        <v>1589780</v>
      </c>
      <c r="U182" s="45">
        <f>42017.83-1647.64</f>
        <v>40370.19</v>
      </c>
      <c r="V182" s="67" t="s">
        <v>959</v>
      </c>
      <c r="W182" s="47" t="s">
        <v>960</v>
      </c>
      <c r="X182" s="48"/>
      <c r="Y182" s="109" t="s">
        <v>282</v>
      </c>
      <c r="Z182" s="45">
        <f>41115-744.81</f>
        <v>40370.19</v>
      </c>
      <c r="AA182" s="45">
        <f>7660.37+6566.04+6566.04+6566.04+6566.04+6445.66+690-690</f>
        <v>40370.19</v>
      </c>
      <c r="AB182" s="45">
        <f t="shared" si="40"/>
        <v>0</v>
      </c>
      <c r="AC182" s="48" t="s">
        <v>102</v>
      </c>
      <c r="AD182" s="63">
        <v>42060</v>
      </c>
      <c r="AE182" s="51">
        <f t="shared" si="48"/>
        <v>0</v>
      </c>
      <c r="AF182" s="52">
        <f t="shared" si="49"/>
        <v>0</v>
      </c>
      <c r="AG182" s="52">
        <v>1589780</v>
      </c>
      <c r="AH182" s="52">
        <f>476934+997782.41+115063.59</f>
        <v>1589780.0000000002</v>
      </c>
      <c r="AI182" s="52">
        <f t="shared" si="45"/>
        <v>-2.3283064365386963E-10</v>
      </c>
      <c r="AJ182" s="124">
        <v>0</v>
      </c>
      <c r="AK182" s="45">
        <v>0</v>
      </c>
      <c r="AL182" s="52">
        <f t="shared" si="41"/>
        <v>0</v>
      </c>
      <c r="AM182" s="52">
        <f t="shared" si="42"/>
        <v>1630150.19</v>
      </c>
      <c r="AN182" s="51">
        <f t="shared" si="43"/>
        <v>1630150.1900000002</v>
      </c>
      <c r="AO182" s="51">
        <f t="shared" si="44"/>
        <v>0</v>
      </c>
      <c r="AP182" s="125" t="s">
        <v>71</v>
      </c>
      <c r="AQ182" s="52">
        <v>411150</v>
      </c>
      <c r="AR182" s="51">
        <v>411150</v>
      </c>
      <c r="AS182" s="51">
        <f t="shared" si="39"/>
        <v>0</v>
      </c>
      <c r="AT182" s="126">
        <f t="shared" si="46"/>
        <v>-2.3283064365386963E-10</v>
      </c>
      <c r="AU182" s="48"/>
      <c r="AV182" s="46"/>
    </row>
    <row r="183" spans="1:48" ht="24.75" hidden="1" x14ac:dyDescent="0.2">
      <c r="A183" s="32">
        <v>636</v>
      </c>
      <c r="B183" s="105" t="s">
        <v>961</v>
      </c>
      <c r="C183" s="106"/>
      <c r="D183" s="107">
        <v>445</v>
      </c>
      <c r="E183" s="36" t="s">
        <v>962</v>
      </c>
      <c r="F183" s="36"/>
      <c r="G183" s="36" t="s">
        <v>951</v>
      </c>
      <c r="H183" s="33" t="s">
        <v>60</v>
      </c>
      <c r="I183" s="107">
        <v>6122</v>
      </c>
      <c r="J183" s="107"/>
      <c r="K183" s="39">
        <v>2</v>
      </c>
      <c r="L183" s="40" t="s">
        <v>61</v>
      </c>
      <c r="M183" s="69" t="s">
        <v>278</v>
      </c>
      <c r="N183" s="42" t="s">
        <v>76</v>
      </c>
      <c r="O183" s="62" t="s">
        <v>279</v>
      </c>
      <c r="P183" s="46" t="s">
        <v>104</v>
      </c>
      <c r="Q183" s="62" t="s">
        <v>963</v>
      </c>
      <c r="R183" s="33" t="s">
        <v>964</v>
      </c>
      <c r="S183" s="45">
        <f t="shared" si="47"/>
        <v>1414215.35</v>
      </c>
      <c r="T183" s="45">
        <v>1390245.6</v>
      </c>
      <c r="U183" s="45">
        <v>23969.75</v>
      </c>
      <c r="V183" s="109" t="s">
        <v>965</v>
      </c>
      <c r="W183" s="63">
        <v>41879</v>
      </c>
      <c r="X183" s="48"/>
      <c r="Y183" s="109" t="s">
        <v>246</v>
      </c>
      <c r="Z183" s="45">
        <v>23969.75</v>
      </c>
      <c r="AA183" s="45">
        <f>5800+5800+6566.04+5800</f>
        <v>23966.04</v>
      </c>
      <c r="AB183" s="45">
        <f t="shared" si="40"/>
        <v>3.7099999999991269</v>
      </c>
      <c r="AC183" s="48" t="s">
        <v>966</v>
      </c>
      <c r="AD183" s="63">
        <v>41954</v>
      </c>
      <c r="AE183" s="51">
        <f t="shared" si="48"/>
        <v>0</v>
      </c>
      <c r="AF183" s="52">
        <f t="shared" si="49"/>
        <v>8.0000000074505806E-2</v>
      </c>
      <c r="AG183" s="52">
        <v>1390245.52</v>
      </c>
      <c r="AH183" s="52">
        <f>417073.66+973171.86</f>
        <v>1390245.52</v>
      </c>
      <c r="AI183" s="52">
        <f t="shared" si="45"/>
        <v>0</v>
      </c>
      <c r="AJ183" s="124">
        <v>0</v>
      </c>
      <c r="AK183" s="45">
        <v>0</v>
      </c>
      <c r="AL183" s="52">
        <f t="shared" si="41"/>
        <v>0</v>
      </c>
      <c r="AM183" s="52">
        <f t="shared" si="42"/>
        <v>1414215.27</v>
      </c>
      <c r="AN183" s="51">
        <f t="shared" si="43"/>
        <v>1414211.56</v>
      </c>
      <c r="AO183" s="51">
        <f t="shared" si="44"/>
        <v>3.7099999999627471</v>
      </c>
      <c r="AP183" s="125" t="s">
        <v>71</v>
      </c>
      <c r="AQ183" s="52">
        <v>359546.26</v>
      </c>
      <c r="AR183" s="51">
        <v>359546.26</v>
      </c>
      <c r="AS183" s="51">
        <f t="shared" si="39"/>
        <v>0</v>
      </c>
      <c r="AT183" s="126">
        <f t="shared" si="46"/>
        <v>3.7900000000372529</v>
      </c>
      <c r="AU183" s="48"/>
      <c r="AV183" s="46"/>
    </row>
    <row r="184" spans="1:48" ht="47.25" hidden="1" x14ac:dyDescent="0.2">
      <c r="A184" s="32">
        <v>639</v>
      </c>
      <c r="B184" s="105" t="s">
        <v>967</v>
      </c>
      <c r="C184" s="106"/>
      <c r="D184" s="107">
        <v>443</v>
      </c>
      <c r="E184" s="36" t="s">
        <v>968</v>
      </c>
      <c r="F184" s="36"/>
      <c r="G184" s="36"/>
      <c r="H184" s="33" t="s">
        <v>969</v>
      </c>
      <c r="I184" s="107">
        <v>6222</v>
      </c>
      <c r="J184" s="107"/>
      <c r="K184" s="39"/>
      <c r="L184" s="118" t="s">
        <v>970</v>
      </c>
      <c r="M184" s="69" t="s">
        <v>75</v>
      </c>
      <c r="N184" s="42" t="s">
        <v>76</v>
      </c>
      <c r="O184" s="62" t="s">
        <v>237</v>
      </c>
      <c r="P184" s="46" t="s">
        <v>434</v>
      </c>
      <c r="Q184" s="62" t="s">
        <v>675</v>
      </c>
      <c r="R184" s="33" t="s">
        <v>971</v>
      </c>
      <c r="S184" s="45">
        <f t="shared" si="47"/>
        <v>200000</v>
      </c>
      <c r="T184" s="45">
        <v>200000</v>
      </c>
      <c r="U184" s="45">
        <v>0</v>
      </c>
      <c r="V184" s="135" t="s">
        <v>972</v>
      </c>
      <c r="W184" s="63">
        <v>41969</v>
      </c>
      <c r="X184" s="48"/>
      <c r="Y184" s="109" t="s">
        <v>234</v>
      </c>
      <c r="Z184" s="45"/>
      <c r="AA184" s="45"/>
      <c r="AB184" s="45">
        <f t="shared" si="40"/>
        <v>0</v>
      </c>
      <c r="AC184" s="48"/>
      <c r="AD184" s="63"/>
      <c r="AE184" s="51">
        <f t="shared" si="48"/>
        <v>0</v>
      </c>
      <c r="AF184" s="52">
        <f t="shared" si="49"/>
        <v>2961.0400000000081</v>
      </c>
      <c r="AG184" s="52">
        <v>197038.96</v>
      </c>
      <c r="AH184" s="52">
        <v>197038.96</v>
      </c>
      <c r="AI184" s="52">
        <f t="shared" si="45"/>
        <v>0</v>
      </c>
      <c r="AJ184" s="124">
        <v>0</v>
      </c>
      <c r="AK184" s="45">
        <v>0</v>
      </c>
      <c r="AL184" s="52">
        <f t="shared" si="41"/>
        <v>0</v>
      </c>
      <c r="AM184" s="52">
        <f t="shared" si="42"/>
        <v>197038.96</v>
      </c>
      <c r="AN184" s="51">
        <f t="shared" si="43"/>
        <v>197038.96</v>
      </c>
      <c r="AO184" s="51">
        <f t="shared" si="44"/>
        <v>0</v>
      </c>
      <c r="AP184" s="125"/>
      <c r="AQ184" s="52">
        <v>0</v>
      </c>
      <c r="AR184" s="51">
        <v>0</v>
      </c>
      <c r="AS184" s="51">
        <f t="shared" si="39"/>
        <v>0</v>
      </c>
      <c r="AT184" s="126">
        <f t="shared" si="46"/>
        <v>2961.0400000000081</v>
      </c>
      <c r="AU184" s="48"/>
      <c r="AV184" s="46"/>
    </row>
    <row r="185" spans="1:48" ht="24.75" hidden="1" x14ac:dyDescent="0.2">
      <c r="A185" s="32">
        <v>639</v>
      </c>
      <c r="B185" s="105" t="s">
        <v>973</v>
      </c>
      <c r="C185" s="106"/>
      <c r="D185" s="107">
        <v>430</v>
      </c>
      <c r="E185" s="36" t="s">
        <v>974</v>
      </c>
      <c r="F185" s="36"/>
      <c r="G185" s="36"/>
      <c r="H185" s="33" t="s">
        <v>209</v>
      </c>
      <c r="I185" s="107">
        <v>6222</v>
      </c>
      <c r="J185" s="107"/>
      <c r="K185" s="39">
        <v>2.2999999999999998</v>
      </c>
      <c r="L185" s="40" t="s">
        <v>210</v>
      </c>
      <c r="M185" s="69" t="s">
        <v>75</v>
      </c>
      <c r="N185" s="42" t="s">
        <v>76</v>
      </c>
      <c r="O185" s="41" t="s">
        <v>77</v>
      </c>
      <c r="P185" s="46" t="s">
        <v>212</v>
      </c>
      <c r="Q185" s="62" t="s">
        <v>975</v>
      </c>
      <c r="R185" s="33" t="s">
        <v>976</v>
      </c>
      <c r="S185" s="45">
        <f t="shared" si="47"/>
        <v>1194800</v>
      </c>
      <c r="T185" s="45">
        <v>1194800</v>
      </c>
      <c r="U185" s="45">
        <v>0</v>
      </c>
      <c r="V185" s="109" t="s">
        <v>918</v>
      </c>
      <c r="W185" s="63">
        <v>41885</v>
      </c>
      <c r="X185" s="48"/>
      <c r="Y185" s="109" t="s">
        <v>234</v>
      </c>
      <c r="Z185" s="45"/>
      <c r="AA185" s="45"/>
      <c r="AB185" s="45">
        <f t="shared" si="40"/>
        <v>0</v>
      </c>
      <c r="AC185" s="48"/>
      <c r="AD185" s="63"/>
      <c r="AE185" s="51">
        <f t="shared" si="48"/>
        <v>0</v>
      </c>
      <c r="AF185" s="52">
        <f t="shared" si="49"/>
        <v>7545.8999999999069</v>
      </c>
      <c r="AG185" s="52">
        <v>1187254.1000000001</v>
      </c>
      <c r="AH185" s="52">
        <f>593627.05+502792.01+90835.03</f>
        <v>1187254.0900000001</v>
      </c>
      <c r="AI185" s="52">
        <f t="shared" si="45"/>
        <v>1.0000000009313226E-2</v>
      </c>
      <c r="AJ185" s="124">
        <v>0</v>
      </c>
      <c r="AK185" s="45">
        <v>0</v>
      </c>
      <c r="AL185" s="52">
        <f t="shared" si="41"/>
        <v>0</v>
      </c>
      <c r="AM185" s="52">
        <f t="shared" si="42"/>
        <v>1187254.1000000001</v>
      </c>
      <c r="AN185" s="51">
        <f t="shared" si="43"/>
        <v>1187254.0900000001</v>
      </c>
      <c r="AO185" s="51">
        <f t="shared" si="44"/>
        <v>1.0000000009313226E-2</v>
      </c>
      <c r="AP185" s="141" t="s">
        <v>71</v>
      </c>
      <c r="AQ185" s="52">
        <v>511747.46</v>
      </c>
      <c r="AR185" s="51">
        <f>433441.39+78306.07</f>
        <v>511747.46</v>
      </c>
      <c r="AS185" s="51">
        <f t="shared" si="39"/>
        <v>0</v>
      </c>
      <c r="AT185" s="126">
        <f t="shared" si="46"/>
        <v>7545.9099999999162</v>
      </c>
      <c r="AU185" s="48"/>
      <c r="AV185" s="46"/>
    </row>
    <row r="186" spans="1:48" ht="27" hidden="1" x14ac:dyDescent="0.2">
      <c r="A186" s="32">
        <v>636</v>
      </c>
      <c r="B186" s="105" t="s">
        <v>977</v>
      </c>
      <c r="C186" s="106"/>
      <c r="D186" s="107">
        <v>428</v>
      </c>
      <c r="E186" s="36" t="s">
        <v>978</v>
      </c>
      <c r="F186" s="36"/>
      <c r="G186" s="36"/>
      <c r="H186" s="33" t="s">
        <v>809</v>
      </c>
      <c r="I186" s="107">
        <v>6242</v>
      </c>
      <c r="J186" s="107"/>
      <c r="K186" s="39">
        <v>3</v>
      </c>
      <c r="L186" s="118" t="s">
        <v>810</v>
      </c>
      <c r="M186" s="69" t="s">
        <v>117</v>
      </c>
      <c r="N186" s="62" t="s">
        <v>811</v>
      </c>
      <c r="O186" s="62" t="s">
        <v>812</v>
      </c>
      <c r="P186" s="46" t="s">
        <v>518</v>
      </c>
      <c r="Q186" s="62" t="s">
        <v>979</v>
      </c>
      <c r="R186" s="33" t="s">
        <v>980</v>
      </c>
      <c r="S186" s="45">
        <f t="shared" si="47"/>
        <v>2000000</v>
      </c>
      <c r="T186" s="45">
        <v>2000000</v>
      </c>
      <c r="U186" s="45">
        <v>0</v>
      </c>
      <c r="V186" s="109" t="s">
        <v>981</v>
      </c>
      <c r="W186" s="63">
        <v>41890</v>
      </c>
      <c r="X186" s="48"/>
      <c r="Y186" s="109" t="s">
        <v>234</v>
      </c>
      <c r="Z186" s="45"/>
      <c r="AA186" s="45"/>
      <c r="AB186" s="45">
        <f t="shared" si="40"/>
        <v>0</v>
      </c>
      <c r="AC186" s="48"/>
      <c r="AD186" s="63"/>
      <c r="AE186" s="51">
        <f t="shared" si="48"/>
        <v>0</v>
      </c>
      <c r="AF186" s="52">
        <f t="shared" si="49"/>
        <v>11407.280000000028</v>
      </c>
      <c r="AG186" s="52">
        <v>1988592.72</v>
      </c>
      <c r="AH186" s="52">
        <f>596577.82+1392014.9</f>
        <v>1988592.7199999997</v>
      </c>
      <c r="AI186" s="52">
        <f t="shared" si="45"/>
        <v>2.3283064365386963E-10</v>
      </c>
      <c r="AJ186" s="124">
        <v>0</v>
      </c>
      <c r="AK186" s="45">
        <v>0</v>
      </c>
      <c r="AL186" s="52">
        <f t="shared" si="41"/>
        <v>0</v>
      </c>
      <c r="AM186" s="52">
        <f t="shared" si="42"/>
        <v>1988592.72</v>
      </c>
      <c r="AN186" s="51">
        <f t="shared" si="43"/>
        <v>1988592.7199999997</v>
      </c>
      <c r="AO186" s="51">
        <f t="shared" si="44"/>
        <v>0</v>
      </c>
      <c r="AP186" s="125" t="s">
        <v>146</v>
      </c>
      <c r="AQ186" s="52">
        <v>514291.22</v>
      </c>
      <c r="AR186" s="51">
        <v>514291.22</v>
      </c>
      <c r="AS186" s="51">
        <f t="shared" si="39"/>
        <v>0</v>
      </c>
      <c r="AT186" s="126">
        <f t="shared" si="46"/>
        <v>11407.280000000261</v>
      </c>
      <c r="AU186" s="48"/>
      <c r="AV186" s="46" t="s">
        <v>982</v>
      </c>
    </row>
    <row r="187" spans="1:48" ht="24.75" hidden="1" x14ac:dyDescent="0.2">
      <c r="A187" s="32">
        <v>636</v>
      </c>
      <c r="B187" s="105" t="s">
        <v>983</v>
      </c>
      <c r="C187" s="106"/>
      <c r="D187" s="107">
        <v>427</v>
      </c>
      <c r="E187" s="36" t="s">
        <v>984</v>
      </c>
      <c r="F187" s="37" t="s">
        <v>59</v>
      </c>
      <c r="G187" s="36"/>
      <c r="H187" s="33" t="s">
        <v>60</v>
      </c>
      <c r="I187" s="107">
        <v>6225</v>
      </c>
      <c r="J187" s="107"/>
      <c r="K187" s="39">
        <v>2</v>
      </c>
      <c r="L187" s="40" t="s">
        <v>61</v>
      </c>
      <c r="M187" s="69" t="s">
        <v>366</v>
      </c>
      <c r="N187" s="42" t="s">
        <v>76</v>
      </c>
      <c r="O187" s="62" t="s">
        <v>228</v>
      </c>
      <c r="P187" s="46" t="s">
        <v>167</v>
      </c>
      <c r="Q187" s="62" t="s">
        <v>651</v>
      </c>
      <c r="R187" s="33" t="s">
        <v>985</v>
      </c>
      <c r="S187" s="45">
        <f t="shared" si="47"/>
        <v>1950316.34</v>
      </c>
      <c r="T187" s="45">
        <f>1949579.83-47870.99</f>
        <v>1901708.84</v>
      </c>
      <c r="U187" s="45">
        <f>50420.17-1812.67</f>
        <v>48607.5</v>
      </c>
      <c r="V187" s="67" t="s">
        <v>986</v>
      </c>
      <c r="W187" s="47" t="s">
        <v>987</v>
      </c>
      <c r="X187" s="48"/>
      <c r="Y187" s="109" t="s">
        <v>282</v>
      </c>
      <c r="Z187" s="45">
        <f>49182.13-574.63</f>
        <v>48607.5</v>
      </c>
      <c r="AA187" s="45">
        <f>13132.08+13132.08+2320+5217.68+6293.58+8512.08</f>
        <v>48607.5</v>
      </c>
      <c r="AB187" s="45">
        <f t="shared" si="40"/>
        <v>0</v>
      </c>
      <c r="AC187" s="48" t="s">
        <v>93</v>
      </c>
      <c r="AD187" s="63">
        <v>42115</v>
      </c>
      <c r="AE187" s="51">
        <f t="shared" si="48"/>
        <v>0</v>
      </c>
      <c r="AF187" s="52">
        <f t="shared" si="49"/>
        <v>0</v>
      </c>
      <c r="AG187" s="52">
        <v>1901708.84</v>
      </c>
      <c r="AH187" s="52">
        <f>663631.81+1238077.03</f>
        <v>1901708.84</v>
      </c>
      <c r="AI187" s="52">
        <f t="shared" si="45"/>
        <v>0</v>
      </c>
      <c r="AJ187" s="124">
        <v>0</v>
      </c>
      <c r="AK187" s="45">
        <v>0</v>
      </c>
      <c r="AL187" s="52">
        <f t="shared" si="41"/>
        <v>0</v>
      </c>
      <c r="AM187" s="52">
        <f t="shared" si="42"/>
        <v>1950316.34</v>
      </c>
      <c r="AN187" s="51">
        <f t="shared" si="43"/>
        <v>1950316.34</v>
      </c>
      <c r="AO187" s="51">
        <f t="shared" si="44"/>
        <v>0</v>
      </c>
      <c r="AP187" s="125" t="s">
        <v>71</v>
      </c>
      <c r="AQ187" s="52">
        <v>0</v>
      </c>
      <c r="AR187" s="51">
        <v>0</v>
      </c>
      <c r="AS187" s="51">
        <f t="shared" si="39"/>
        <v>0</v>
      </c>
      <c r="AT187" s="126">
        <f t="shared" si="46"/>
        <v>0</v>
      </c>
      <c r="AU187" s="48"/>
      <c r="AV187" s="46"/>
    </row>
    <row r="188" spans="1:48" ht="24.75" hidden="1" x14ac:dyDescent="0.2">
      <c r="A188" s="32">
        <v>639</v>
      </c>
      <c r="B188" s="105" t="s">
        <v>988</v>
      </c>
      <c r="C188" s="106"/>
      <c r="D188" s="107">
        <v>431</v>
      </c>
      <c r="E188" s="36" t="s">
        <v>989</v>
      </c>
      <c r="F188" s="36"/>
      <c r="G188" s="36"/>
      <c r="H188" s="33" t="s">
        <v>209</v>
      </c>
      <c r="I188" s="107">
        <v>6222</v>
      </c>
      <c r="J188" s="107"/>
      <c r="K188" s="39">
        <v>2.2999999999999998</v>
      </c>
      <c r="L188" s="40" t="s">
        <v>210</v>
      </c>
      <c r="M188" s="69" t="s">
        <v>75</v>
      </c>
      <c r="N188" s="42" t="s">
        <v>76</v>
      </c>
      <c r="O188" s="41" t="s">
        <v>77</v>
      </c>
      <c r="P188" s="46" t="s">
        <v>104</v>
      </c>
      <c r="Q188" s="62" t="s">
        <v>420</v>
      </c>
      <c r="R188" s="33" t="s">
        <v>990</v>
      </c>
      <c r="S188" s="45">
        <f t="shared" si="47"/>
        <v>600000</v>
      </c>
      <c r="T188" s="45">
        <v>600000</v>
      </c>
      <c r="U188" s="45">
        <v>0</v>
      </c>
      <c r="V188" s="109" t="s">
        <v>918</v>
      </c>
      <c r="W188" s="63">
        <v>41885</v>
      </c>
      <c r="X188" s="48"/>
      <c r="Y188" s="109" t="s">
        <v>234</v>
      </c>
      <c r="Z188" s="45"/>
      <c r="AA188" s="45"/>
      <c r="AB188" s="45">
        <f t="shared" si="40"/>
        <v>0</v>
      </c>
      <c r="AC188" s="48"/>
      <c r="AD188" s="63"/>
      <c r="AE188" s="51">
        <f t="shared" si="48"/>
        <v>0</v>
      </c>
      <c r="AF188" s="52">
        <f t="shared" si="49"/>
        <v>11895.790000000037</v>
      </c>
      <c r="AG188" s="52">
        <v>588104.21</v>
      </c>
      <c r="AH188" s="52">
        <f>176431.27+150217.49+155048.37+106407.08</f>
        <v>588104.21</v>
      </c>
      <c r="AI188" s="52">
        <f t="shared" si="45"/>
        <v>0</v>
      </c>
      <c r="AJ188" s="124">
        <v>0</v>
      </c>
      <c r="AK188" s="45">
        <v>0</v>
      </c>
      <c r="AL188" s="52">
        <f t="shared" si="41"/>
        <v>0</v>
      </c>
      <c r="AM188" s="52">
        <f t="shared" si="42"/>
        <v>588104.21</v>
      </c>
      <c r="AN188" s="51">
        <f t="shared" si="43"/>
        <v>588104.21</v>
      </c>
      <c r="AO188" s="51">
        <f t="shared" si="44"/>
        <v>0</v>
      </c>
      <c r="AP188" s="125" t="s">
        <v>205</v>
      </c>
      <c r="AQ188" s="52">
        <v>152095.92000000001</v>
      </c>
      <c r="AR188" s="51">
        <f>55499.07+57283.88+39312.96</f>
        <v>152095.91</v>
      </c>
      <c r="AS188" s="51">
        <f t="shared" si="39"/>
        <v>1.0000000009313226E-2</v>
      </c>
      <c r="AT188" s="126">
        <f t="shared" si="46"/>
        <v>11895.790000000037</v>
      </c>
      <c r="AU188" s="48"/>
      <c r="AV188" s="46"/>
    </row>
    <row r="189" spans="1:48" ht="27" hidden="1" x14ac:dyDescent="0.2">
      <c r="A189" s="32">
        <v>636</v>
      </c>
      <c r="B189" s="259" t="s">
        <v>991</v>
      </c>
      <c r="C189" s="107"/>
      <c r="D189" s="88">
        <v>449</v>
      </c>
      <c r="E189" s="253" t="s">
        <v>992</v>
      </c>
      <c r="F189" s="82"/>
      <c r="G189" s="82"/>
      <c r="H189" s="33" t="s">
        <v>778</v>
      </c>
      <c r="I189" s="267">
        <v>6225</v>
      </c>
      <c r="J189" s="107">
        <v>3</v>
      </c>
      <c r="K189" s="39">
        <v>3.2</v>
      </c>
      <c r="L189" s="118" t="s">
        <v>797</v>
      </c>
      <c r="M189" s="69" t="s">
        <v>366</v>
      </c>
      <c r="N189" s="42" t="s">
        <v>63</v>
      </c>
      <c r="O189" s="62" t="s">
        <v>228</v>
      </c>
      <c r="P189" s="46" t="s">
        <v>65</v>
      </c>
      <c r="Q189" s="62" t="s">
        <v>993</v>
      </c>
      <c r="R189" s="256" t="s">
        <v>994</v>
      </c>
      <c r="S189" s="45">
        <f t="shared" si="47"/>
        <v>4768106.95</v>
      </c>
      <c r="T189" s="45">
        <f>5000000-231893.05</f>
        <v>4768106.95</v>
      </c>
      <c r="U189" s="45">
        <v>0</v>
      </c>
      <c r="V189" s="109" t="s">
        <v>995</v>
      </c>
      <c r="W189" s="63">
        <v>41908</v>
      </c>
      <c r="X189" s="48"/>
      <c r="Y189" s="109" t="s">
        <v>234</v>
      </c>
      <c r="Z189" s="45"/>
      <c r="AA189" s="45"/>
      <c r="AB189" s="45">
        <f t="shared" si="40"/>
        <v>0</v>
      </c>
      <c r="AC189" s="48"/>
      <c r="AD189" s="63"/>
      <c r="AE189" s="51">
        <f t="shared" si="48"/>
        <v>0</v>
      </c>
      <c r="AF189" s="52">
        <f t="shared" si="49"/>
        <v>0</v>
      </c>
      <c r="AG189" s="52">
        <v>4768106.95</v>
      </c>
      <c r="AH189" s="52">
        <f>2384053.47+2105457.33+278596.15</f>
        <v>4768106.9500000011</v>
      </c>
      <c r="AI189" s="52">
        <f t="shared" si="45"/>
        <v>-9.3132257461547852E-10</v>
      </c>
      <c r="AJ189" s="124">
        <v>0</v>
      </c>
      <c r="AK189" s="45">
        <v>0</v>
      </c>
      <c r="AL189" s="52">
        <f t="shared" si="41"/>
        <v>0</v>
      </c>
      <c r="AM189" s="52">
        <f t="shared" si="42"/>
        <v>4768106.95</v>
      </c>
      <c r="AN189" s="51">
        <f t="shared" si="43"/>
        <v>4768106.9500000011</v>
      </c>
      <c r="AO189" s="51">
        <f t="shared" si="44"/>
        <v>0</v>
      </c>
      <c r="AP189" s="125" t="s">
        <v>134</v>
      </c>
      <c r="AQ189" s="52">
        <v>2055218.51</v>
      </c>
      <c r="AR189" s="51">
        <f>1815049.42+240169.09</f>
        <v>2055218.51</v>
      </c>
      <c r="AS189" s="51">
        <f t="shared" si="39"/>
        <v>0</v>
      </c>
      <c r="AT189" s="126">
        <f t="shared" si="46"/>
        <v>-9.3132257461547852E-10</v>
      </c>
      <c r="AU189" s="48"/>
      <c r="AV189" s="46" t="s">
        <v>783</v>
      </c>
    </row>
    <row r="190" spans="1:48" ht="24.75" hidden="1" x14ac:dyDescent="0.2">
      <c r="A190" s="32">
        <v>636</v>
      </c>
      <c r="B190" s="261"/>
      <c r="C190" s="107"/>
      <c r="D190" s="65">
        <v>450</v>
      </c>
      <c r="E190" s="255"/>
      <c r="F190" s="36"/>
      <c r="G190" s="36"/>
      <c r="H190" s="46" t="s">
        <v>800</v>
      </c>
      <c r="I190" s="267"/>
      <c r="J190" s="107">
        <v>3</v>
      </c>
      <c r="K190" s="39">
        <v>2</v>
      </c>
      <c r="L190" s="40" t="s">
        <v>61</v>
      </c>
      <c r="M190" s="69" t="s">
        <v>366</v>
      </c>
      <c r="N190" s="42" t="s">
        <v>63</v>
      </c>
      <c r="O190" s="62" t="s">
        <v>228</v>
      </c>
      <c r="P190" s="46" t="s">
        <v>65</v>
      </c>
      <c r="Q190" s="62" t="s">
        <v>993</v>
      </c>
      <c r="R190" s="258"/>
      <c r="S190" s="45">
        <f t="shared" si="47"/>
        <v>4768106.95</v>
      </c>
      <c r="T190" s="45">
        <f>5000000-231893.05</f>
        <v>4768106.95</v>
      </c>
      <c r="U190" s="45">
        <v>0</v>
      </c>
      <c r="V190" s="109" t="s">
        <v>995</v>
      </c>
      <c r="W190" s="63">
        <v>41908</v>
      </c>
      <c r="X190" s="48"/>
      <c r="Y190" s="109" t="s">
        <v>234</v>
      </c>
      <c r="Z190" s="45"/>
      <c r="AA190" s="45"/>
      <c r="AB190" s="45">
        <f t="shared" si="40"/>
        <v>0</v>
      </c>
      <c r="AC190" s="48"/>
      <c r="AD190" s="63"/>
      <c r="AE190" s="51">
        <f t="shared" si="48"/>
        <v>0</v>
      </c>
      <c r="AF190" s="52">
        <f t="shared" si="49"/>
        <v>0</v>
      </c>
      <c r="AG190" s="52">
        <f>4768106.96-0.01</f>
        <v>4768106.95</v>
      </c>
      <c r="AH190" s="52">
        <f>2384053.48+2105457.32+278596.15</f>
        <v>4768106.95</v>
      </c>
      <c r="AI190" s="52">
        <f t="shared" si="45"/>
        <v>0</v>
      </c>
      <c r="AJ190" s="124">
        <v>0</v>
      </c>
      <c r="AK190" s="45">
        <v>0</v>
      </c>
      <c r="AL190" s="52">
        <f t="shared" si="41"/>
        <v>0</v>
      </c>
      <c r="AM190" s="52">
        <f t="shared" si="42"/>
        <v>4768106.95</v>
      </c>
      <c r="AN190" s="51">
        <f t="shared" si="43"/>
        <v>4768106.95</v>
      </c>
      <c r="AO190" s="51">
        <f t="shared" si="44"/>
        <v>0</v>
      </c>
      <c r="AP190" s="125" t="s">
        <v>134</v>
      </c>
      <c r="AQ190" s="52">
        <v>2055218.52</v>
      </c>
      <c r="AR190" s="51">
        <f>1815049.42+240169.1</f>
        <v>2055218.52</v>
      </c>
      <c r="AS190" s="51">
        <f t="shared" si="39"/>
        <v>0</v>
      </c>
      <c r="AT190" s="126">
        <f t="shared" si="46"/>
        <v>0</v>
      </c>
      <c r="AU190" s="48"/>
      <c r="AV190" s="46" t="s">
        <v>801</v>
      </c>
    </row>
    <row r="191" spans="1:48" ht="33" hidden="1" x14ac:dyDescent="0.2">
      <c r="A191" s="32">
        <v>639</v>
      </c>
      <c r="B191" s="122" t="s">
        <v>996</v>
      </c>
      <c r="C191" s="142"/>
      <c r="D191" s="116">
        <v>432</v>
      </c>
      <c r="E191" s="36" t="s">
        <v>997</v>
      </c>
      <c r="F191" s="36"/>
      <c r="G191" s="36"/>
      <c r="H191" s="33" t="s">
        <v>209</v>
      </c>
      <c r="I191" s="116">
        <v>6222</v>
      </c>
      <c r="J191" s="116"/>
      <c r="K191" s="39">
        <v>2.2999999999999998</v>
      </c>
      <c r="L191" s="40" t="s">
        <v>210</v>
      </c>
      <c r="M191" s="69" t="s">
        <v>75</v>
      </c>
      <c r="N191" s="42" t="s">
        <v>76</v>
      </c>
      <c r="O191" s="41" t="s">
        <v>77</v>
      </c>
      <c r="P191" s="46" t="s">
        <v>104</v>
      </c>
      <c r="Q191" s="62" t="s">
        <v>622</v>
      </c>
      <c r="R191" s="33" t="s">
        <v>998</v>
      </c>
      <c r="S191" s="45">
        <f t="shared" si="47"/>
        <v>478000</v>
      </c>
      <c r="T191" s="45">
        <v>478000</v>
      </c>
      <c r="U191" s="45">
        <v>0</v>
      </c>
      <c r="V191" s="109" t="s">
        <v>999</v>
      </c>
      <c r="W191" s="63">
        <v>41890</v>
      </c>
      <c r="X191" s="48"/>
      <c r="Y191" s="109" t="s">
        <v>234</v>
      </c>
      <c r="Z191" s="45"/>
      <c r="AA191" s="45"/>
      <c r="AB191" s="45">
        <f t="shared" si="40"/>
        <v>0</v>
      </c>
      <c r="AC191" s="48"/>
      <c r="AD191" s="63"/>
      <c r="AE191" s="51">
        <f t="shared" si="48"/>
        <v>0</v>
      </c>
      <c r="AF191" s="52">
        <f t="shared" si="49"/>
        <v>12023.770000000019</v>
      </c>
      <c r="AG191" s="52">
        <v>465976.23</v>
      </c>
      <c r="AH191" s="52">
        <f>139792.88+223483+102700.35</f>
        <v>465976.23</v>
      </c>
      <c r="AI191" s="52">
        <f t="shared" si="45"/>
        <v>0</v>
      </c>
      <c r="AJ191" s="124">
        <v>0</v>
      </c>
      <c r="AK191" s="45">
        <v>0</v>
      </c>
      <c r="AL191" s="52">
        <f t="shared" si="41"/>
        <v>0</v>
      </c>
      <c r="AM191" s="52">
        <f t="shared" si="42"/>
        <v>465976.23</v>
      </c>
      <c r="AN191" s="51">
        <f t="shared" si="43"/>
        <v>465976.23</v>
      </c>
      <c r="AO191" s="51">
        <f t="shared" si="44"/>
        <v>0</v>
      </c>
      <c r="AP191" s="125" t="s">
        <v>333</v>
      </c>
      <c r="AQ191" s="52">
        <v>120511.1</v>
      </c>
      <c r="AR191" s="51">
        <f>82567.61+37943.49</f>
        <v>120511.1</v>
      </c>
      <c r="AS191" s="51">
        <f t="shared" si="39"/>
        <v>0</v>
      </c>
      <c r="AT191" s="126">
        <f t="shared" si="46"/>
        <v>12023.770000000019</v>
      </c>
      <c r="AU191" s="48"/>
      <c r="AV191" s="46"/>
    </row>
    <row r="192" spans="1:48" ht="24.75" hidden="1" x14ac:dyDescent="0.2">
      <c r="A192" s="32">
        <v>636</v>
      </c>
      <c r="B192" s="105" t="s">
        <v>1000</v>
      </c>
      <c r="C192" s="106"/>
      <c r="D192" s="107">
        <v>467</v>
      </c>
      <c r="E192" s="36" t="s">
        <v>1001</v>
      </c>
      <c r="F192" s="36"/>
      <c r="G192" s="36" t="s">
        <v>956</v>
      </c>
      <c r="H192" s="33" t="s">
        <v>60</v>
      </c>
      <c r="I192" s="107">
        <v>6122</v>
      </c>
      <c r="J192" s="107"/>
      <c r="K192" s="39">
        <v>2</v>
      </c>
      <c r="L192" s="40" t="s">
        <v>61</v>
      </c>
      <c r="M192" s="69" t="s">
        <v>278</v>
      </c>
      <c r="N192" s="42" t="s">
        <v>76</v>
      </c>
      <c r="O192" s="62" t="s">
        <v>279</v>
      </c>
      <c r="P192" s="46" t="s">
        <v>65</v>
      </c>
      <c r="Q192" s="62" t="s">
        <v>1002</v>
      </c>
      <c r="R192" s="33" t="s">
        <v>1003</v>
      </c>
      <c r="S192" s="45">
        <f t="shared" si="47"/>
        <v>1397563.8</v>
      </c>
      <c r="T192" s="45">
        <v>1362331.1</v>
      </c>
      <c r="U192" s="45">
        <v>35232.699999999997</v>
      </c>
      <c r="V192" s="109" t="s">
        <v>1004</v>
      </c>
      <c r="W192" s="63">
        <v>41899</v>
      </c>
      <c r="X192" s="48"/>
      <c r="Y192" s="109" t="s">
        <v>282</v>
      </c>
      <c r="Z192" s="45">
        <v>34020</v>
      </c>
      <c r="AA192" s="45">
        <f>22726.72+9935.11+1038.7-1038.7+300-300</f>
        <v>32661.83</v>
      </c>
      <c r="AB192" s="45">
        <f t="shared" si="40"/>
        <v>1358.1699999999983</v>
      </c>
      <c r="AC192" s="48" t="s">
        <v>102</v>
      </c>
      <c r="AD192" s="63">
        <v>42062</v>
      </c>
      <c r="AE192" s="51">
        <f t="shared" si="48"/>
        <v>1212.6999999999971</v>
      </c>
      <c r="AF192" s="52">
        <f t="shared" si="49"/>
        <v>46891.100000000093</v>
      </c>
      <c r="AG192" s="52">
        <v>1315440</v>
      </c>
      <c r="AH192" s="52">
        <f>394632+920808</f>
        <v>1315440</v>
      </c>
      <c r="AI192" s="52">
        <f t="shared" si="45"/>
        <v>0</v>
      </c>
      <c r="AJ192" s="124">
        <v>0</v>
      </c>
      <c r="AK192" s="45">
        <v>0</v>
      </c>
      <c r="AL192" s="52">
        <f t="shared" si="41"/>
        <v>0</v>
      </c>
      <c r="AM192" s="52">
        <f t="shared" si="42"/>
        <v>1349460</v>
      </c>
      <c r="AN192" s="51">
        <f t="shared" si="43"/>
        <v>1348101.83</v>
      </c>
      <c r="AO192" s="51" t="s">
        <v>27</v>
      </c>
      <c r="AP192" s="125" t="s">
        <v>71</v>
      </c>
      <c r="AQ192" s="52">
        <v>340200</v>
      </c>
      <c r="AR192" s="51">
        <v>340200</v>
      </c>
      <c r="AS192" s="51">
        <f t="shared" si="39"/>
        <v>0</v>
      </c>
      <c r="AT192" s="126">
        <f t="shared" si="46"/>
        <v>49461.969999999972</v>
      </c>
      <c r="AU192" s="48"/>
      <c r="AV192" s="46"/>
    </row>
    <row r="193" spans="1:48" ht="33" hidden="1" x14ac:dyDescent="0.2">
      <c r="A193" s="32">
        <v>636</v>
      </c>
      <c r="B193" s="259" t="s">
        <v>1005</v>
      </c>
      <c r="C193" s="262"/>
      <c r="D193" s="262">
        <v>641</v>
      </c>
      <c r="E193" s="253" t="s">
        <v>1006</v>
      </c>
      <c r="F193" s="82"/>
      <c r="G193" s="86"/>
      <c r="H193" s="256" t="s">
        <v>1007</v>
      </c>
      <c r="I193" s="262">
        <v>6142</v>
      </c>
      <c r="J193" s="262"/>
      <c r="K193" s="270"/>
      <c r="L193" s="272" t="s">
        <v>1008</v>
      </c>
      <c r="M193" s="274" t="s">
        <v>403</v>
      </c>
      <c r="N193" s="272" t="s">
        <v>63</v>
      </c>
      <c r="O193" s="272" t="s">
        <v>1009</v>
      </c>
      <c r="P193" s="256" t="s">
        <v>65</v>
      </c>
      <c r="Q193" s="272" t="s">
        <v>798</v>
      </c>
      <c r="R193" s="33" t="s">
        <v>1010</v>
      </c>
      <c r="S193" s="45">
        <f t="shared" si="47"/>
        <v>10863459.310000001</v>
      </c>
      <c r="T193" s="45">
        <v>10863459.310000001</v>
      </c>
      <c r="U193" s="45">
        <v>0</v>
      </c>
      <c r="V193" s="259" t="s">
        <v>1011</v>
      </c>
      <c r="W193" s="268">
        <v>41942</v>
      </c>
      <c r="X193" s="48"/>
      <c r="Y193" s="109" t="s">
        <v>234</v>
      </c>
      <c r="Z193" s="45"/>
      <c r="AA193" s="45"/>
      <c r="AB193" s="45">
        <f t="shared" si="40"/>
        <v>0</v>
      </c>
      <c r="AC193" s="48"/>
      <c r="AD193" s="63"/>
      <c r="AE193" s="51">
        <f t="shared" si="48"/>
        <v>0</v>
      </c>
      <c r="AF193" s="52">
        <f t="shared" si="49"/>
        <v>1.1923475540243089E-9</v>
      </c>
      <c r="AG193" s="52">
        <v>10857103.279999999</v>
      </c>
      <c r="AH193" s="52">
        <f>3989830.52+974713.84+658306.7+1750152+1637057.19+1847043.03</f>
        <v>10857103.279999999</v>
      </c>
      <c r="AI193" s="52">
        <f t="shared" si="45"/>
        <v>0</v>
      </c>
      <c r="AJ193" s="124">
        <v>6356.03</v>
      </c>
      <c r="AK193" s="45">
        <f>3439.51+840.27+567.5+1508.75+1411.26-1411.26</f>
        <v>6356.0300000000007</v>
      </c>
      <c r="AL193" s="52">
        <f t="shared" si="41"/>
        <v>0</v>
      </c>
      <c r="AM193" s="52">
        <f t="shared" si="42"/>
        <v>10863459.309999999</v>
      </c>
      <c r="AN193" s="51">
        <f t="shared" si="43"/>
        <v>10863459.309999999</v>
      </c>
      <c r="AO193" s="51">
        <f t="shared" si="44"/>
        <v>0</v>
      </c>
      <c r="AP193" s="125" t="s">
        <v>1012</v>
      </c>
      <c r="AQ193" s="52">
        <v>0</v>
      </c>
      <c r="AR193" s="51">
        <v>0</v>
      </c>
      <c r="AS193" s="51">
        <f t="shared" si="39"/>
        <v>0</v>
      </c>
      <c r="AT193" s="126">
        <f t="shared" si="46"/>
        <v>1.862645149230957E-9</v>
      </c>
      <c r="AU193" s="48"/>
      <c r="AV193" s="46" t="s">
        <v>1013</v>
      </c>
    </row>
    <row r="194" spans="1:48" ht="16.5" hidden="1" x14ac:dyDescent="0.2">
      <c r="A194" s="32">
        <v>636</v>
      </c>
      <c r="B194" s="261"/>
      <c r="C194" s="264"/>
      <c r="D194" s="264"/>
      <c r="E194" s="255"/>
      <c r="F194" s="36"/>
      <c r="G194" s="72"/>
      <c r="H194" s="258"/>
      <c r="I194" s="264"/>
      <c r="J194" s="264"/>
      <c r="K194" s="271"/>
      <c r="L194" s="273"/>
      <c r="M194" s="275"/>
      <c r="N194" s="273"/>
      <c r="O194" s="273"/>
      <c r="P194" s="258"/>
      <c r="Q194" s="273"/>
      <c r="R194" s="33" t="s">
        <v>1014</v>
      </c>
      <c r="S194" s="45">
        <f t="shared" si="47"/>
        <v>10136540.689999999</v>
      </c>
      <c r="T194" s="45">
        <v>10136540.689999999</v>
      </c>
      <c r="U194" s="45">
        <v>0</v>
      </c>
      <c r="V194" s="261"/>
      <c r="W194" s="269"/>
      <c r="X194" s="48"/>
      <c r="Y194" s="109" t="s">
        <v>234</v>
      </c>
      <c r="Z194" s="45"/>
      <c r="AA194" s="45"/>
      <c r="AB194" s="45">
        <f t="shared" si="40"/>
        <v>0</v>
      </c>
      <c r="AC194" s="48"/>
      <c r="AD194" s="63"/>
      <c r="AE194" s="51">
        <f t="shared" si="48"/>
        <v>0</v>
      </c>
      <c r="AF194" s="52">
        <f t="shared" si="49"/>
        <v>28267.479999999778</v>
      </c>
      <c r="AG194" s="52">
        <v>10099566.68</v>
      </c>
      <c r="AH194" s="52">
        <f>5049783.34+1110445.06+1441399.38+1202801.59+630605.42+626318.35+38213.54</f>
        <v>10099566.68</v>
      </c>
      <c r="AI194" s="52">
        <f t="shared" si="45"/>
        <v>0</v>
      </c>
      <c r="AJ194" s="124">
        <v>8706.5300000000007</v>
      </c>
      <c r="AK194" s="45">
        <v>8706.5300000000007</v>
      </c>
      <c r="AL194" s="52">
        <f t="shared" si="41"/>
        <v>0</v>
      </c>
      <c r="AM194" s="52">
        <f t="shared" si="42"/>
        <v>10108273.209999999</v>
      </c>
      <c r="AN194" s="51">
        <f t="shared" si="43"/>
        <v>10108273.209999999</v>
      </c>
      <c r="AO194" s="51">
        <f t="shared" si="44"/>
        <v>0</v>
      </c>
      <c r="AP194" s="125" t="s">
        <v>1012</v>
      </c>
      <c r="AQ194" s="52">
        <v>4353261.5</v>
      </c>
      <c r="AR194" s="51">
        <f>957280.23+1242585.68+1036897.92+543625.36+539929.61+32942.7</f>
        <v>4353261.5</v>
      </c>
      <c r="AS194" s="51">
        <f t="shared" si="39"/>
        <v>0</v>
      </c>
      <c r="AT194" s="126">
        <f t="shared" si="46"/>
        <v>28267.480000000447</v>
      </c>
      <c r="AU194" s="48"/>
      <c r="AV194" s="46"/>
    </row>
    <row r="195" spans="1:48" ht="54" hidden="1" x14ac:dyDescent="0.2">
      <c r="A195" s="32">
        <v>639</v>
      </c>
      <c r="B195" s="33" t="s">
        <v>1015</v>
      </c>
      <c r="C195" s="39"/>
      <c r="D195" s="107"/>
      <c r="E195" s="36" t="s">
        <v>1016</v>
      </c>
      <c r="F195" s="36"/>
      <c r="G195" s="36"/>
      <c r="H195" s="105"/>
      <c r="I195" s="107">
        <v>6142</v>
      </c>
      <c r="J195" s="107"/>
      <c r="K195" s="39">
        <v>3.3</v>
      </c>
      <c r="L195" s="40" t="s">
        <v>287</v>
      </c>
      <c r="M195" s="118" t="s">
        <v>403</v>
      </c>
      <c r="N195" s="42" t="s">
        <v>76</v>
      </c>
      <c r="O195" s="62"/>
      <c r="P195" s="46" t="s">
        <v>289</v>
      </c>
      <c r="Q195" s="62" t="s">
        <v>1017</v>
      </c>
      <c r="R195" s="33" t="s">
        <v>1018</v>
      </c>
      <c r="S195" s="45">
        <f t="shared" si="47"/>
        <v>40000000</v>
      </c>
      <c r="T195" s="45">
        <v>39489361.700000003</v>
      </c>
      <c r="U195" s="45">
        <v>510638.3</v>
      </c>
      <c r="V195" s="67" t="s">
        <v>1019</v>
      </c>
      <c r="W195" s="63">
        <v>41641</v>
      </c>
      <c r="X195" s="48"/>
      <c r="Y195" s="109" t="s">
        <v>646</v>
      </c>
      <c r="Z195" s="45">
        <v>504935.67</v>
      </c>
      <c r="AA195" s="45">
        <f>13177.6-13177.6</f>
        <v>0</v>
      </c>
      <c r="AB195" s="45">
        <f t="shared" si="40"/>
        <v>504935.67</v>
      </c>
      <c r="AC195" s="48" t="s">
        <v>93</v>
      </c>
      <c r="AD195" s="63">
        <v>42209</v>
      </c>
      <c r="AE195" s="51">
        <f t="shared" si="48"/>
        <v>5702.6300000000047</v>
      </c>
      <c r="AF195" s="52">
        <f t="shared" si="49"/>
        <v>4954324.8700000048</v>
      </c>
      <c r="AG195" s="52">
        <f>39048358.56-4513321.73</f>
        <v>34535036.829999998</v>
      </c>
      <c r="AH195" s="52">
        <f>11714507.57-11714507.57+10360511.05+893818.86+1425116.85+1654164.98+2970740.02+6966423.26+3323887.72+5945600.91+703984.79+290788.38</f>
        <v>34535036.820000008</v>
      </c>
      <c r="AI195" s="52">
        <f t="shared" si="45"/>
        <v>9.9999904632568359E-3</v>
      </c>
      <c r="AJ195" s="124">
        <v>0</v>
      </c>
      <c r="AK195" s="45">
        <v>0</v>
      </c>
      <c r="AL195" s="52">
        <f t="shared" si="41"/>
        <v>0</v>
      </c>
      <c r="AM195" s="52">
        <f t="shared" si="42"/>
        <v>35039972.5</v>
      </c>
      <c r="AN195" s="51">
        <f t="shared" ref="AN195:AN253" si="50">SUM(AA195+AH195)+AK195</f>
        <v>34535036.820000008</v>
      </c>
      <c r="AO195" s="51">
        <f t="shared" si="44"/>
        <v>504935.67999999225</v>
      </c>
      <c r="AP195" s="125" t="s">
        <v>1020</v>
      </c>
      <c r="AQ195" s="52">
        <v>8931475.0399999991</v>
      </c>
      <c r="AR195" s="51">
        <f>330228.65+526521.01+611144.69+1097564.05+2573801.69+1228037.33+2196650.58+260092.91+107434.13</f>
        <v>8931475.040000001</v>
      </c>
      <c r="AS195" s="51">
        <f t="shared" si="39"/>
        <v>-1.862645149230957E-9</v>
      </c>
      <c r="AT195" s="126">
        <f t="shared" si="46"/>
        <v>5464963.1799999923</v>
      </c>
      <c r="AU195" s="48"/>
      <c r="AV195" s="46"/>
    </row>
    <row r="196" spans="1:48" ht="33" hidden="1" x14ac:dyDescent="0.2">
      <c r="A196" s="32">
        <v>639</v>
      </c>
      <c r="B196" s="105" t="s">
        <v>1021</v>
      </c>
      <c r="C196" s="106"/>
      <c r="D196" s="107">
        <v>444</v>
      </c>
      <c r="E196" s="36" t="s">
        <v>1022</v>
      </c>
      <c r="F196" s="36"/>
      <c r="G196" s="36"/>
      <c r="H196" s="33" t="s">
        <v>209</v>
      </c>
      <c r="I196" s="107">
        <v>6222</v>
      </c>
      <c r="J196" s="107"/>
      <c r="K196" s="39">
        <v>2.2999999999999998</v>
      </c>
      <c r="L196" s="40" t="s">
        <v>210</v>
      </c>
      <c r="M196" s="69" t="s">
        <v>75</v>
      </c>
      <c r="N196" s="42" t="s">
        <v>76</v>
      </c>
      <c r="O196" s="41" t="s">
        <v>77</v>
      </c>
      <c r="P196" s="46" t="s">
        <v>821</v>
      </c>
      <c r="Q196" s="62" t="s">
        <v>1023</v>
      </c>
      <c r="R196" s="33" t="s">
        <v>1024</v>
      </c>
      <c r="S196" s="45">
        <f t="shared" si="47"/>
        <v>800000</v>
      </c>
      <c r="T196" s="45">
        <v>800000</v>
      </c>
      <c r="U196" s="45">
        <v>0</v>
      </c>
      <c r="V196" s="109" t="s">
        <v>999</v>
      </c>
      <c r="W196" s="63">
        <v>41890</v>
      </c>
      <c r="X196" s="48"/>
      <c r="Y196" s="109" t="s">
        <v>234</v>
      </c>
      <c r="Z196" s="45"/>
      <c r="AA196" s="45"/>
      <c r="AB196" s="45">
        <f t="shared" si="40"/>
        <v>0</v>
      </c>
      <c r="AC196" s="48"/>
      <c r="AD196" s="63"/>
      <c r="AE196" s="51">
        <f t="shared" si="48"/>
        <v>0</v>
      </c>
      <c r="AF196" s="52">
        <f t="shared" si="49"/>
        <v>37140.880000000005</v>
      </c>
      <c r="AG196" s="52">
        <v>762859.12</v>
      </c>
      <c r="AH196" s="52">
        <f>228857.73+251932.26+246104.88+35964.25</f>
        <v>762859.12</v>
      </c>
      <c r="AI196" s="52">
        <f t="shared" si="45"/>
        <v>0</v>
      </c>
      <c r="AJ196" s="124">
        <v>0</v>
      </c>
      <c r="AK196" s="45">
        <v>0</v>
      </c>
      <c r="AL196" s="52">
        <f t="shared" si="41"/>
        <v>0</v>
      </c>
      <c r="AM196" s="52">
        <f t="shared" si="42"/>
        <v>762859.12</v>
      </c>
      <c r="AN196" s="51">
        <f t="shared" si="50"/>
        <v>762859.12</v>
      </c>
      <c r="AO196" s="51">
        <f t="shared" si="44"/>
        <v>0</v>
      </c>
      <c r="AP196" s="125" t="s">
        <v>71</v>
      </c>
      <c r="AQ196" s="52">
        <v>197291.15</v>
      </c>
      <c r="AR196" s="51">
        <f>93078.42+90925.45+13287.28</f>
        <v>197291.15</v>
      </c>
      <c r="AS196" s="51">
        <f t="shared" ref="AS196:AS207" si="51">SUM(AQ196-AR196)</f>
        <v>0</v>
      </c>
      <c r="AT196" s="126">
        <f t="shared" si="46"/>
        <v>37140.880000000005</v>
      </c>
      <c r="AU196" s="48"/>
      <c r="AV196" s="46"/>
    </row>
    <row r="197" spans="1:48" ht="24.75" hidden="1" x14ac:dyDescent="0.2">
      <c r="A197" s="32">
        <v>639</v>
      </c>
      <c r="B197" s="105" t="s">
        <v>1025</v>
      </c>
      <c r="C197" s="106"/>
      <c r="D197" s="107">
        <v>442</v>
      </c>
      <c r="E197" s="36" t="s">
        <v>1026</v>
      </c>
      <c r="F197" s="36"/>
      <c r="G197" s="36" t="s">
        <v>951</v>
      </c>
      <c r="H197" s="33" t="s">
        <v>576</v>
      </c>
      <c r="I197" s="107">
        <v>6222</v>
      </c>
      <c r="J197" s="107"/>
      <c r="K197" s="39" t="s">
        <v>577</v>
      </c>
      <c r="L197" s="40" t="s">
        <v>1027</v>
      </c>
      <c r="M197" s="69" t="s">
        <v>75</v>
      </c>
      <c r="N197" s="42" t="s">
        <v>76</v>
      </c>
      <c r="O197" s="41" t="s">
        <v>77</v>
      </c>
      <c r="P197" s="46" t="s">
        <v>104</v>
      </c>
      <c r="Q197" s="62" t="s">
        <v>903</v>
      </c>
      <c r="R197" s="33" t="s">
        <v>1028</v>
      </c>
      <c r="S197" s="45">
        <f t="shared" si="47"/>
        <v>1502057.46</v>
      </c>
      <c r="T197" s="45">
        <v>1502057.46</v>
      </c>
      <c r="U197" s="45">
        <v>0</v>
      </c>
      <c r="V197" s="109" t="s">
        <v>1029</v>
      </c>
      <c r="W197" s="63">
        <v>41890</v>
      </c>
      <c r="X197" s="48"/>
      <c r="Y197" s="109" t="s">
        <v>234</v>
      </c>
      <c r="Z197" s="45"/>
      <c r="AA197" s="45"/>
      <c r="AB197" s="45">
        <f t="shared" si="40"/>
        <v>0</v>
      </c>
      <c r="AC197" s="48"/>
      <c r="AD197" s="63"/>
      <c r="AE197" s="51">
        <f t="shared" si="48"/>
        <v>0</v>
      </c>
      <c r="AF197" s="52">
        <f t="shared" si="49"/>
        <v>25483.939999999944</v>
      </c>
      <c r="AG197" s="52">
        <v>1476573.52</v>
      </c>
      <c r="AH197" s="52">
        <f>442972.05+923209.88+110391.59</f>
        <v>1476573.52</v>
      </c>
      <c r="AI197" s="52">
        <f t="shared" si="45"/>
        <v>0</v>
      </c>
      <c r="AJ197" s="124">
        <v>0</v>
      </c>
      <c r="AK197" s="45">
        <v>0</v>
      </c>
      <c r="AL197" s="52">
        <f t="shared" si="41"/>
        <v>0</v>
      </c>
      <c r="AM197" s="52">
        <f t="shared" si="42"/>
        <v>1476573.52</v>
      </c>
      <c r="AN197" s="51">
        <f t="shared" si="50"/>
        <v>1476573.52</v>
      </c>
      <c r="AO197" s="51">
        <f t="shared" si="44"/>
        <v>0</v>
      </c>
      <c r="AP197" s="125" t="s">
        <v>336</v>
      </c>
      <c r="AQ197" s="52">
        <v>381872.46</v>
      </c>
      <c r="AR197" s="51">
        <f>341087.39+40785.07</f>
        <v>381872.46</v>
      </c>
      <c r="AS197" s="51">
        <f t="shared" si="51"/>
        <v>0</v>
      </c>
      <c r="AT197" s="126">
        <f t="shared" si="46"/>
        <v>25483.939999999944</v>
      </c>
      <c r="AU197" s="48"/>
      <c r="AV197" s="46"/>
    </row>
    <row r="198" spans="1:48" ht="33" hidden="1" x14ac:dyDescent="0.2">
      <c r="A198" s="32">
        <v>639</v>
      </c>
      <c r="B198" s="105" t="s">
        <v>1030</v>
      </c>
      <c r="C198" s="106"/>
      <c r="D198" s="107">
        <v>455</v>
      </c>
      <c r="E198" s="36" t="s">
        <v>1031</v>
      </c>
      <c r="F198" s="37" t="s">
        <v>59</v>
      </c>
      <c r="G198" s="36" t="s">
        <v>956</v>
      </c>
      <c r="H198" s="33" t="s">
        <v>576</v>
      </c>
      <c r="I198" s="107">
        <v>6222</v>
      </c>
      <c r="J198" s="107"/>
      <c r="K198" s="39" t="s">
        <v>577</v>
      </c>
      <c r="L198" s="40" t="s">
        <v>1027</v>
      </c>
      <c r="M198" s="69" t="s">
        <v>75</v>
      </c>
      <c r="N198" s="42" t="s">
        <v>76</v>
      </c>
      <c r="O198" s="41" t="s">
        <v>77</v>
      </c>
      <c r="P198" s="46" t="s">
        <v>1032</v>
      </c>
      <c r="Q198" s="62" t="s">
        <v>1033</v>
      </c>
      <c r="R198" s="33" t="s">
        <v>1034</v>
      </c>
      <c r="S198" s="45">
        <f t="shared" si="47"/>
        <v>1803800</v>
      </c>
      <c r="T198" s="45">
        <f>1834883.59-31083.59</f>
        <v>1803800</v>
      </c>
      <c r="U198" s="45">
        <v>0</v>
      </c>
      <c r="V198" s="109" t="s">
        <v>1029</v>
      </c>
      <c r="W198" s="63">
        <v>41890</v>
      </c>
      <c r="X198" s="48"/>
      <c r="Y198" s="109" t="s">
        <v>234</v>
      </c>
      <c r="Z198" s="45"/>
      <c r="AA198" s="45"/>
      <c r="AB198" s="45">
        <f t="shared" si="40"/>
        <v>0</v>
      </c>
      <c r="AC198" s="48"/>
      <c r="AD198" s="63"/>
      <c r="AE198" s="51">
        <f t="shared" si="48"/>
        <v>0</v>
      </c>
      <c r="AF198" s="52">
        <f t="shared" si="49"/>
        <v>0</v>
      </c>
      <c r="AG198" s="52">
        <v>1803800</v>
      </c>
      <c r="AH198" s="52">
        <f>541140+1247018.4+15641.6</f>
        <v>1803800</v>
      </c>
      <c r="AI198" s="52">
        <f t="shared" si="45"/>
        <v>0</v>
      </c>
      <c r="AJ198" s="124">
        <v>0</v>
      </c>
      <c r="AK198" s="45">
        <v>0</v>
      </c>
      <c r="AL198" s="52">
        <f t="shared" si="41"/>
        <v>0</v>
      </c>
      <c r="AM198" s="52">
        <f t="shared" si="42"/>
        <v>1803800</v>
      </c>
      <c r="AN198" s="51">
        <f t="shared" si="50"/>
        <v>1803800</v>
      </c>
      <c r="AO198" s="51">
        <f t="shared" si="44"/>
        <v>0</v>
      </c>
      <c r="AP198" s="125" t="s">
        <v>71</v>
      </c>
      <c r="AQ198" s="52">
        <v>466500</v>
      </c>
      <c r="AR198" s="51">
        <v>466500</v>
      </c>
      <c r="AS198" s="51">
        <f t="shared" si="51"/>
        <v>0</v>
      </c>
      <c r="AT198" s="126">
        <f t="shared" si="46"/>
        <v>0</v>
      </c>
      <c r="AU198" s="48"/>
      <c r="AV198" s="46"/>
    </row>
    <row r="199" spans="1:48" ht="24.75" hidden="1" x14ac:dyDescent="0.2">
      <c r="A199" s="32">
        <v>639</v>
      </c>
      <c r="B199" s="105" t="s">
        <v>1035</v>
      </c>
      <c r="C199" s="106"/>
      <c r="D199" s="107">
        <v>418</v>
      </c>
      <c r="E199" s="36" t="s">
        <v>1036</v>
      </c>
      <c r="F199" s="36"/>
      <c r="G199" s="36"/>
      <c r="H199" s="33" t="s">
        <v>209</v>
      </c>
      <c r="I199" s="107">
        <v>6222</v>
      </c>
      <c r="J199" s="107"/>
      <c r="K199" s="39">
        <v>2.2999999999999998</v>
      </c>
      <c r="L199" s="40" t="s">
        <v>210</v>
      </c>
      <c r="M199" s="69" t="s">
        <v>75</v>
      </c>
      <c r="N199" s="42" t="s">
        <v>63</v>
      </c>
      <c r="O199" s="41" t="s">
        <v>77</v>
      </c>
      <c r="P199" s="46" t="s">
        <v>1037</v>
      </c>
      <c r="Q199" s="62" t="s">
        <v>780</v>
      </c>
      <c r="R199" s="33" t="s">
        <v>1038</v>
      </c>
      <c r="S199" s="45">
        <f t="shared" si="47"/>
        <v>260000</v>
      </c>
      <c r="T199" s="45">
        <v>260000</v>
      </c>
      <c r="U199" s="45">
        <v>0</v>
      </c>
      <c r="V199" s="109" t="s">
        <v>1039</v>
      </c>
      <c r="W199" s="63">
        <v>41872</v>
      </c>
      <c r="X199" s="48"/>
      <c r="Y199" s="109" t="s">
        <v>234</v>
      </c>
      <c r="Z199" s="45"/>
      <c r="AA199" s="45"/>
      <c r="AB199" s="45">
        <f t="shared" si="40"/>
        <v>0</v>
      </c>
      <c r="AC199" s="48"/>
      <c r="AD199" s="63"/>
      <c r="AE199" s="51">
        <f t="shared" si="48"/>
        <v>0</v>
      </c>
      <c r="AF199" s="52">
        <f t="shared" si="49"/>
        <v>8608.5599999999977</v>
      </c>
      <c r="AG199" s="52">
        <v>251391.44</v>
      </c>
      <c r="AH199" s="52">
        <f>75417.43+175974.01</f>
        <v>251391.44</v>
      </c>
      <c r="AI199" s="52">
        <f t="shared" si="45"/>
        <v>0</v>
      </c>
      <c r="AJ199" s="124">
        <v>0</v>
      </c>
      <c r="AK199" s="45">
        <v>0</v>
      </c>
      <c r="AL199" s="52">
        <f t="shared" si="41"/>
        <v>0</v>
      </c>
      <c r="AM199" s="52">
        <f t="shared" si="42"/>
        <v>251391.44</v>
      </c>
      <c r="AN199" s="51">
        <f t="shared" si="50"/>
        <v>251391.44</v>
      </c>
      <c r="AO199" s="51">
        <f t="shared" si="44"/>
        <v>0</v>
      </c>
      <c r="AP199" s="125" t="s">
        <v>146</v>
      </c>
      <c r="AQ199" s="52">
        <v>65015.03</v>
      </c>
      <c r="AR199" s="51">
        <v>65015.03</v>
      </c>
      <c r="AS199" s="51">
        <f t="shared" si="51"/>
        <v>0</v>
      </c>
      <c r="AT199" s="126">
        <f t="shared" si="46"/>
        <v>8608.5599999999977</v>
      </c>
      <c r="AU199" s="48"/>
      <c r="AV199" s="46"/>
    </row>
    <row r="200" spans="1:48" ht="24.75" hidden="1" x14ac:dyDescent="0.2">
      <c r="A200" s="32">
        <v>639</v>
      </c>
      <c r="B200" s="105" t="s">
        <v>1040</v>
      </c>
      <c r="C200" s="106"/>
      <c r="D200" s="107"/>
      <c r="E200" s="36" t="s">
        <v>1041</v>
      </c>
      <c r="F200" s="36"/>
      <c r="G200" s="36"/>
      <c r="H200" s="33" t="s">
        <v>1042</v>
      </c>
      <c r="I200" s="107">
        <v>6222</v>
      </c>
      <c r="J200" s="107"/>
      <c r="K200" s="39"/>
      <c r="L200" s="118" t="s">
        <v>1043</v>
      </c>
      <c r="M200" s="69" t="s">
        <v>75</v>
      </c>
      <c r="N200" s="42" t="s">
        <v>76</v>
      </c>
      <c r="O200" s="41" t="s">
        <v>77</v>
      </c>
      <c r="P200" s="46" t="s">
        <v>1044</v>
      </c>
      <c r="Q200" s="62" t="s">
        <v>937</v>
      </c>
      <c r="R200" s="33" t="s">
        <v>1045</v>
      </c>
      <c r="S200" s="45">
        <f t="shared" si="47"/>
        <v>382777.72</v>
      </c>
      <c r="T200" s="45">
        <v>382777.72</v>
      </c>
      <c r="U200" s="45">
        <v>0</v>
      </c>
      <c r="V200" s="109" t="s">
        <v>1046</v>
      </c>
      <c r="W200" s="63">
        <v>41873</v>
      </c>
      <c r="X200" s="48"/>
      <c r="Y200" s="109" t="s">
        <v>234</v>
      </c>
      <c r="Z200" s="45"/>
      <c r="AA200" s="45"/>
      <c r="AB200" s="45">
        <f t="shared" si="40"/>
        <v>0</v>
      </c>
      <c r="AC200" s="48"/>
      <c r="AD200" s="63"/>
      <c r="AE200" s="51">
        <f t="shared" si="48"/>
        <v>0</v>
      </c>
      <c r="AF200" s="52">
        <f t="shared" si="49"/>
        <v>2987.8199999999488</v>
      </c>
      <c r="AG200" s="52">
        <v>379789.9</v>
      </c>
      <c r="AH200" s="52">
        <v>379789.9</v>
      </c>
      <c r="AI200" s="52">
        <f t="shared" si="45"/>
        <v>0</v>
      </c>
      <c r="AJ200" s="124">
        <v>0</v>
      </c>
      <c r="AK200" s="45">
        <v>0</v>
      </c>
      <c r="AL200" s="52">
        <f t="shared" si="41"/>
        <v>0</v>
      </c>
      <c r="AM200" s="52">
        <f t="shared" si="42"/>
        <v>379789.9</v>
      </c>
      <c r="AN200" s="51">
        <f t="shared" si="50"/>
        <v>379789.9</v>
      </c>
      <c r="AO200" s="51">
        <f t="shared" si="44"/>
        <v>0</v>
      </c>
      <c r="AP200" s="125" t="s">
        <v>934</v>
      </c>
      <c r="AQ200" s="52">
        <v>0</v>
      </c>
      <c r="AR200" s="51">
        <v>0</v>
      </c>
      <c r="AS200" s="51">
        <f t="shared" si="51"/>
        <v>0</v>
      </c>
      <c r="AT200" s="126">
        <f t="shared" si="46"/>
        <v>2987.8199999999488</v>
      </c>
      <c r="AU200" s="48"/>
      <c r="AV200" s="46"/>
    </row>
    <row r="201" spans="1:48" ht="33.75" hidden="1" x14ac:dyDescent="0.2">
      <c r="A201" s="32">
        <v>636</v>
      </c>
      <c r="B201" s="105" t="s">
        <v>1047</v>
      </c>
      <c r="C201" s="106"/>
      <c r="D201" s="107">
        <v>447</v>
      </c>
      <c r="E201" s="36" t="s">
        <v>1048</v>
      </c>
      <c r="F201" s="37" t="s">
        <v>59</v>
      </c>
      <c r="G201" s="36"/>
      <c r="H201" s="105"/>
      <c r="I201" s="107">
        <v>6223</v>
      </c>
      <c r="J201" s="107"/>
      <c r="K201" s="140">
        <v>1.2</v>
      </c>
      <c r="L201" s="118" t="s">
        <v>650</v>
      </c>
      <c r="M201" s="69" t="s">
        <v>117</v>
      </c>
      <c r="N201" s="42" t="s">
        <v>63</v>
      </c>
      <c r="O201" s="62" t="s">
        <v>118</v>
      </c>
      <c r="P201" s="46" t="s">
        <v>434</v>
      </c>
      <c r="Q201" s="62" t="s">
        <v>675</v>
      </c>
      <c r="R201" s="33" t="s">
        <v>1049</v>
      </c>
      <c r="S201" s="45">
        <f t="shared" si="47"/>
        <v>1169952.3500000001</v>
      </c>
      <c r="T201" s="45">
        <f>2830000-1650370.7-9676.95</f>
        <v>1169952.3500000001</v>
      </c>
      <c r="U201" s="45">
        <v>0</v>
      </c>
      <c r="V201" s="67" t="s">
        <v>1050</v>
      </c>
      <c r="W201" s="143" t="s">
        <v>1051</v>
      </c>
      <c r="X201" s="48"/>
      <c r="Y201" s="109" t="s">
        <v>234</v>
      </c>
      <c r="Z201" s="45"/>
      <c r="AA201" s="45"/>
      <c r="AB201" s="45">
        <f t="shared" si="40"/>
        <v>0</v>
      </c>
      <c r="AC201" s="48"/>
      <c r="AD201" s="63"/>
      <c r="AE201" s="51">
        <f t="shared" si="48"/>
        <v>0</v>
      </c>
      <c r="AF201" s="52">
        <f t="shared" si="49"/>
        <v>0</v>
      </c>
      <c r="AG201" s="52">
        <v>1169952.3500000001</v>
      </c>
      <c r="AH201" s="52">
        <f>584976.17+296737.91+191255.77+96982.5</f>
        <v>1169952.3500000001</v>
      </c>
      <c r="AI201" s="52">
        <f t="shared" si="45"/>
        <v>0</v>
      </c>
      <c r="AJ201" s="124">
        <v>0</v>
      </c>
      <c r="AK201" s="45">
        <v>0</v>
      </c>
      <c r="AL201" s="52">
        <f t="shared" si="41"/>
        <v>0</v>
      </c>
      <c r="AM201" s="52">
        <f t="shared" si="42"/>
        <v>1169952.3500000001</v>
      </c>
      <c r="AN201" s="51">
        <f t="shared" si="50"/>
        <v>1169952.3500000001</v>
      </c>
      <c r="AO201" s="51">
        <f t="shared" si="44"/>
        <v>0</v>
      </c>
      <c r="AP201" s="125" t="s">
        <v>696</v>
      </c>
      <c r="AQ201" s="52">
        <v>504289.8</v>
      </c>
      <c r="AR201" s="51">
        <f>255808.54+164875.66+83605.6</f>
        <v>504289.80000000005</v>
      </c>
      <c r="AS201" s="51">
        <f t="shared" si="51"/>
        <v>-5.8207660913467407E-11</v>
      </c>
      <c r="AT201" s="126">
        <f t="shared" si="46"/>
        <v>0</v>
      </c>
      <c r="AU201" s="48"/>
      <c r="AV201" s="46"/>
    </row>
    <row r="202" spans="1:48" ht="24.75" hidden="1" x14ac:dyDescent="0.2">
      <c r="A202" s="32">
        <v>639</v>
      </c>
      <c r="B202" s="105" t="s">
        <v>1052</v>
      </c>
      <c r="C202" s="106"/>
      <c r="D202" s="107"/>
      <c r="E202" s="36" t="s">
        <v>1053</v>
      </c>
      <c r="F202" s="37" t="s">
        <v>59</v>
      </c>
      <c r="G202" s="36" t="s">
        <v>1054</v>
      </c>
      <c r="H202" s="105"/>
      <c r="I202" s="107">
        <v>6222</v>
      </c>
      <c r="J202" s="107"/>
      <c r="K202" s="39" t="s">
        <v>577</v>
      </c>
      <c r="L202" s="40" t="s">
        <v>1027</v>
      </c>
      <c r="M202" s="69" t="s">
        <v>75</v>
      </c>
      <c r="N202" s="42" t="s">
        <v>76</v>
      </c>
      <c r="O202" s="41" t="s">
        <v>77</v>
      </c>
      <c r="P202" s="46" t="s">
        <v>178</v>
      </c>
      <c r="Q202" s="62" t="s">
        <v>1055</v>
      </c>
      <c r="R202" s="33" t="s">
        <v>168</v>
      </c>
      <c r="S202" s="45">
        <f t="shared" si="47"/>
        <v>0</v>
      </c>
      <c r="T202" s="45">
        <f>1360551.19-1360551.19</f>
        <v>0</v>
      </c>
      <c r="U202" s="45">
        <v>0</v>
      </c>
      <c r="V202" s="109" t="s">
        <v>1056</v>
      </c>
      <c r="W202" s="63">
        <v>42124</v>
      </c>
      <c r="X202" s="48"/>
      <c r="Y202" s="109" t="s">
        <v>234</v>
      </c>
      <c r="Z202" s="45"/>
      <c r="AA202" s="45"/>
      <c r="AB202" s="45">
        <f t="shared" si="40"/>
        <v>0</v>
      </c>
      <c r="AC202" s="48"/>
      <c r="AD202" s="63"/>
      <c r="AE202" s="51">
        <f t="shared" si="48"/>
        <v>0</v>
      </c>
      <c r="AF202" s="52">
        <f t="shared" si="49"/>
        <v>0</v>
      </c>
      <c r="AG202" s="52"/>
      <c r="AH202" s="52"/>
      <c r="AI202" s="52">
        <f t="shared" si="45"/>
        <v>0</v>
      </c>
      <c r="AJ202" s="124">
        <v>0</v>
      </c>
      <c r="AK202" s="45">
        <v>0</v>
      </c>
      <c r="AL202" s="52">
        <f t="shared" si="41"/>
        <v>0</v>
      </c>
      <c r="AM202" s="52">
        <f t="shared" si="42"/>
        <v>0</v>
      </c>
      <c r="AN202" s="51">
        <f t="shared" si="50"/>
        <v>0</v>
      </c>
      <c r="AO202" s="51">
        <f t="shared" si="44"/>
        <v>0</v>
      </c>
      <c r="AP202" s="125"/>
      <c r="AQ202" s="52">
        <v>0</v>
      </c>
      <c r="AR202" s="51">
        <v>0</v>
      </c>
      <c r="AS202" s="51">
        <f t="shared" si="51"/>
        <v>0</v>
      </c>
      <c r="AT202" s="51">
        <f t="shared" si="46"/>
        <v>0</v>
      </c>
      <c r="AU202" s="48"/>
      <c r="AV202" s="46"/>
    </row>
    <row r="203" spans="1:48" ht="24.75" hidden="1" x14ac:dyDescent="0.2">
      <c r="A203" s="32">
        <v>639</v>
      </c>
      <c r="B203" s="105" t="s">
        <v>1058</v>
      </c>
      <c r="C203" s="106"/>
      <c r="D203" s="107"/>
      <c r="E203" s="36" t="s">
        <v>1059</v>
      </c>
      <c r="F203" s="37" t="s">
        <v>59</v>
      </c>
      <c r="G203" s="36" t="s">
        <v>1054</v>
      </c>
      <c r="H203" s="105"/>
      <c r="I203" s="107">
        <v>6222</v>
      </c>
      <c r="J203" s="107"/>
      <c r="K203" s="39" t="s">
        <v>577</v>
      </c>
      <c r="L203" s="40" t="s">
        <v>1027</v>
      </c>
      <c r="M203" s="69" t="s">
        <v>75</v>
      </c>
      <c r="N203" s="42" t="s">
        <v>76</v>
      </c>
      <c r="O203" s="41" t="s">
        <v>77</v>
      </c>
      <c r="P203" s="46" t="s">
        <v>178</v>
      </c>
      <c r="Q203" s="62" t="s">
        <v>1060</v>
      </c>
      <c r="R203" s="33" t="s">
        <v>168</v>
      </c>
      <c r="S203" s="45">
        <f t="shared" si="47"/>
        <v>0</v>
      </c>
      <c r="T203" s="45">
        <f>1223794.74-1223794.74</f>
        <v>0</v>
      </c>
      <c r="U203" s="45">
        <v>0</v>
      </c>
      <c r="V203" s="109" t="s">
        <v>1056</v>
      </c>
      <c r="W203" s="63">
        <v>42124</v>
      </c>
      <c r="X203" s="48"/>
      <c r="Y203" s="109" t="s">
        <v>234</v>
      </c>
      <c r="Z203" s="45"/>
      <c r="AA203" s="45"/>
      <c r="AB203" s="45">
        <f t="shared" si="40"/>
        <v>0</v>
      </c>
      <c r="AC203" s="48"/>
      <c r="AD203" s="63"/>
      <c r="AE203" s="51">
        <f t="shared" si="48"/>
        <v>0</v>
      </c>
      <c r="AF203" s="52">
        <f t="shared" si="49"/>
        <v>0</v>
      </c>
      <c r="AG203" s="52"/>
      <c r="AH203" s="52"/>
      <c r="AI203" s="52">
        <f t="shared" si="45"/>
        <v>0</v>
      </c>
      <c r="AJ203" s="124">
        <v>0</v>
      </c>
      <c r="AK203" s="45">
        <v>0</v>
      </c>
      <c r="AL203" s="52">
        <f t="shared" si="41"/>
        <v>0</v>
      </c>
      <c r="AM203" s="52">
        <f t="shared" si="42"/>
        <v>0</v>
      </c>
      <c r="AN203" s="51">
        <f t="shared" si="50"/>
        <v>0</v>
      </c>
      <c r="AO203" s="51">
        <f t="shared" si="44"/>
        <v>0</v>
      </c>
      <c r="AP203" s="125"/>
      <c r="AQ203" s="52">
        <v>0</v>
      </c>
      <c r="AR203" s="51">
        <v>0</v>
      </c>
      <c r="AS203" s="51">
        <f t="shared" si="51"/>
        <v>0</v>
      </c>
      <c r="AT203" s="51">
        <f t="shared" si="46"/>
        <v>0</v>
      </c>
      <c r="AU203" s="48"/>
      <c r="AV203" s="46"/>
    </row>
    <row r="204" spans="1:48" ht="24.75" hidden="1" x14ac:dyDescent="0.2">
      <c r="A204" s="32">
        <v>636</v>
      </c>
      <c r="B204" s="105" t="s">
        <v>1061</v>
      </c>
      <c r="C204" s="106"/>
      <c r="D204" s="107">
        <v>523</v>
      </c>
      <c r="E204" s="36" t="s">
        <v>1062</v>
      </c>
      <c r="F204" s="36"/>
      <c r="G204" s="36" t="s">
        <v>763</v>
      </c>
      <c r="H204" s="33" t="s">
        <v>60</v>
      </c>
      <c r="I204" s="107">
        <v>6122</v>
      </c>
      <c r="J204" s="107"/>
      <c r="K204" s="39">
        <v>2</v>
      </c>
      <c r="L204" s="40" t="s">
        <v>61</v>
      </c>
      <c r="M204" s="69" t="s">
        <v>278</v>
      </c>
      <c r="N204" s="42" t="s">
        <v>76</v>
      </c>
      <c r="O204" s="62" t="s">
        <v>279</v>
      </c>
      <c r="P204" s="46" t="s">
        <v>104</v>
      </c>
      <c r="Q204" s="62" t="s">
        <v>916</v>
      </c>
      <c r="R204" s="33" t="s">
        <v>1063</v>
      </c>
      <c r="S204" s="45">
        <f t="shared" si="47"/>
        <v>893926.33000000007</v>
      </c>
      <c r="T204" s="45">
        <v>878775.04</v>
      </c>
      <c r="U204" s="45">
        <v>15151.29</v>
      </c>
      <c r="V204" s="109" t="s">
        <v>1064</v>
      </c>
      <c r="W204" s="63">
        <v>41955</v>
      </c>
      <c r="X204" s="48"/>
      <c r="Y204" s="109" t="s">
        <v>246</v>
      </c>
      <c r="Z204" s="45">
        <v>15089.02</v>
      </c>
      <c r="AA204" s="45">
        <f>13132.08+1813.2+92.8</f>
        <v>15038.08</v>
      </c>
      <c r="AB204" s="45">
        <f t="shared" si="40"/>
        <v>50.940000000000509</v>
      </c>
      <c r="AC204" s="48" t="s">
        <v>102</v>
      </c>
      <c r="AD204" s="63">
        <v>42191</v>
      </c>
      <c r="AE204" s="51">
        <f t="shared" si="48"/>
        <v>62.270000000000437</v>
      </c>
      <c r="AF204" s="52">
        <f t="shared" si="49"/>
        <v>3611.7800000000279</v>
      </c>
      <c r="AG204" s="52">
        <v>875163.26</v>
      </c>
      <c r="AH204" s="52">
        <f>262548.98+473576.58+139037.7</f>
        <v>875163.26</v>
      </c>
      <c r="AI204" s="52">
        <f t="shared" si="45"/>
        <v>0</v>
      </c>
      <c r="AJ204" s="124">
        <v>0</v>
      </c>
      <c r="AK204" s="45">
        <v>0</v>
      </c>
      <c r="AL204" s="52">
        <f t="shared" si="41"/>
        <v>0</v>
      </c>
      <c r="AM204" s="52">
        <f t="shared" si="42"/>
        <v>890252.28</v>
      </c>
      <c r="AN204" s="51">
        <f t="shared" si="50"/>
        <v>890201.34</v>
      </c>
      <c r="AO204" s="51">
        <f t="shared" si="44"/>
        <v>50.940000000060536</v>
      </c>
      <c r="AP204" s="125" t="s">
        <v>71</v>
      </c>
      <c r="AQ204" s="52">
        <v>226335.33</v>
      </c>
      <c r="AR204" s="51">
        <f>174966.71+51368.62</f>
        <v>226335.33</v>
      </c>
      <c r="AS204" s="51">
        <f t="shared" si="51"/>
        <v>0</v>
      </c>
      <c r="AT204" s="126">
        <f t="shared" si="46"/>
        <v>3724.9900000001071</v>
      </c>
      <c r="AU204" s="48"/>
      <c r="AV204" s="46"/>
    </row>
    <row r="205" spans="1:48" ht="24.75" hidden="1" x14ac:dyDescent="0.2">
      <c r="A205" s="32">
        <v>636</v>
      </c>
      <c r="B205" s="105" t="s">
        <v>1065</v>
      </c>
      <c r="C205" s="106"/>
      <c r="D205" s="107">
        <v>522</v>
      </c>
      <c r="E205" s="36" t="s">
        <v>1066</v>
      </c>
      <c r="F205" s="36"/>
      <c r="G205" s="36" t="s">
        <v>763</v>
      </c>
      <c r="H205" s="33" t="s">
        <v>60</v>
      </c>
      <c r="I205" s="107">
        <v>6122</v>
      </c>
      <c r="J205" s="107"/>
      <c r="K205" s="39">
        <v>2</v>
      </c>
      <c r="L205" s="40" t="s">
        <v>61</v>
      </c>
      <c r="M205" s="69" t="s">
        <v>278</v>
      </c>
      <c r="N205" s="42" t="s">
        <v>76</v>
      </c>
      <c r="O205" s="62" t="s">
        <v>279</v>
      </c>
      <c r="P205" s="46" t="s">
        <v>104</v>
      </c>
      <c r="Q205" s="62" t="s">
        <v>1067</v>
      </c>
      <c r="R205" s="33" t="s">
        <v>1068</v>
      </c>
      <c r="S205" s="45">
        <f t="shared" si="47"/>
        <v>382892.9</v>
      </c>
      <c r="T205" s="45">
        <v>376403.19</v>
      </c>
      <c r="U205" s="45">
        <v>6489.71</v>
      </c>
      <c r="V205" s="109" t="s">
        <v>1064</v>
      </c>
      <c r="W205" s="63">
        <v>41955</v>
      </c>
      <c r="X205" s="48"/>
      <c r="Y205" s="109" t="s">
        <v>246</v>
      </c>
      <c r="Z205" s="45">
        <v>6253.89</v>
      </c>
      <c r="AA205" s="45">
        <f>4860.54+725</f>
        <v>5585.54</v>
      </c>
      <c r="AB205" s="45">
        <f t="shared" si="40"/>
        <v>668.35000000000036</v>
      </c>
      <c r="AC205" s="48" t="s">
        <v>102</v>
      </c>
      <c r="AD205" s="63">
        <v>42103</v>
      </c>
      <c r="AE205" s="51">
        <f t="shared" si="48"/>
        <v>235.81999999999971</v>
      </c>
      <c r="AF205" s="52">
        <f t="shared" si="49"/>
        <v>13677.309999999998</v>
      </c>
      <c r="AG205" s="52">
        <v>362725.88</v>
      </c>
      <c r="AH205" s="52">
        <f>108817.77+198556.33+35413.85</f>
        <v>342787.94999999995</v>
      </c>
      <c r="AI205" s="52">
        <f t="shared" si="45"/>
        <v>19937.930000000051</v>
      </c>
      <c r="AJ205" s="124">
        <v>0</v>
      </c>
      <c r="AK205" s="45">
        <v>0</v>
      </c>
      <c r="AL205" s="52">
        <f t="shared" si="41"/>
        <v>0</v>
      </c>
      <c r="AM205" s="52">
        <f t="shared" si="42"/>
        <v>368979.77</v>
      </c>
      <c r="AN205" s="51">
        <f t="shared" si="50"/>
        <v>348373.48999999993</v>
      </c>
      <c r="AO205" s="51">
        <f t="shared" si="44"/>
        <v>20606.280000000086</v>
      </c>
      <c r="AP205" s="125" t="s">
        <v>71</v>
      </c>
      <c r="AQ205" s="52">
        <v>93808.42</v>
      </c>
      <c r="AR205" s="51">
        <v>93808.42</v>
      </c>
      <c r="AS205" s="51">
        <f t="shared" si="51"/>
        <v>0</v>
      </c>
      <c r="AT205" s="51">
        <f t="shared" si="46"/>
        <v>34519.410000000091</v>
      </c>
      <c r="AU205" s="48"/>
      <c r="AV205" s="46"/>
    </row>
    <row r="206" spans="1:48" ht="47.25" hidden="1" x14ac:dyDescent="0.2">
      <c r="A206" s="32">
        <v>639</v>
      </c>
      <c r="B206" s="259" t="s">
        <v>1069</v>
      </c>
      <c r="C206" s="144"/>
      <c r="D206" s="107"/>
      <c r="E206" s="253" t="s">
        <v>1070</v>
      </c>
      <c r="F206" s="145"/>
      <c r="G206" s="145"/>
      <c r="H206" s="33" t="s">
        <v>187</v>
      </c>
      <c r="I206" s="38" t="s">
        <v>27</v>
      </c>
      <c r="J206" s="38"/>
      <c r="K206" s="39"/>
      <c r="L206" s="146" t="s">
        <v>1071</v>
      </c>
      <c r="M206" s="147" t="s">
        <v>1072</v>
      </c>
      <c r="N206" s="42" t="s">
        <v>76</v>
      </c>
      <c r="O206" s="148" t="s">
        <v>314</v>
      </c>
      <c r="P206" s="46" t="s">
        <v>1073</v>
      </c>
      <c r="Q206" s="46" t="s">
        <v>1074</v>
      </c>
      <c r="R206" s="256" t="s">
        <v>1075</v>
      </c>
      <c r="S206" s="45">
        <f t="shared" si="47"/>
        <v>1308884.4099999999</v>
      </c>
      <c r="T206" s="45">
        <v>1308884.4099999999</v>
      </c>
      <c r="U206" s="45">
        <v>0</v>
      </c>
      <c r="V206" s="109" t="s">
        <v>1076</v>
      </c>
      <c r="W206" s="63">
        <v>41932</v>
      </c>
      <c r="X206" s="48"/>
      <c r="Y206" s="109" t="s">
        <v>234</v>
      </c>
      <c r="Z206" s="45"/>
      <c r="AA206" s="45"/>
      <c r="AB206" s="45">
        <f t="shared" si="40"/>
        <v>0</v>
      </c>
      <c r="AC206" s="48"/>
      <c r="AD206" s="63"/>
      <c r="AE206" s="51">
        <f t="shared" si="48"/>
        <v>0</v>
      </c>
      <c r="AF206" s="52">
        <f t="shared" si="49"/>
        <v>1141.4399999999441</v>
      </c>
      <c r="AG206" s="52">
        <v>1307742.97</v>
      </c>
      <c r="AH206" s="52">
        <f>392322.89+33608.98+74483.74+76435.65+50522.73+58917.82+62944.06</f>
        <v>749235.86999999988</v>
      </c>
      <c r="AI206" s="52">
        <f t="shared" si="45"/>
        <v>558507.10000000009</v>
      </c>
      <c r="AJ206" s="124">
        <v>0</v>
      </c>
      <c r="AK206" s="45">
        <v>0</v>
      </c>
      <c r="AL206" s="52">
        <f t="shared" si="41"/>
        <v>0</v>
      </c>
      <c r="AM206" s="52">
        <f t="shared" si="42"/>
        <v>1307742.97</v>
      </c>
      <c r="AN206" s="51">
        <f t="shared" si="50"/>
        <v>749235.86999999988</v>
      </c>
      <c r="AO206" s="51">
        <f t="shared" si="44"/>
        <v>558507.10000000009</v>
      </c>
      <c r="AP206" s="125"/>
      <c r="AQ206" s="52">
        <v>338209.39</v>
      </c>
      <c r="AR206" s="51">
        <f>12417.11+158285.6+18666.03+21767.67+21767.67+23255.19</f>
        <v>256159.27000000002</v>
      </c>
      <c r="AS206" s="51">
        <f t="shared" si="51"/>
        <v>82050.12</v>
      </c>
      <c r="AT206" s="51">
        <f t="shared" si="46"/>
        <v>559648.54</v>
      </c>
      <c r="AU206" s="48"/>
      <c r="AV206" s="46"/>
    </row>
    <row r="207" spans="1:48" ht="33" hidden="1" x14ac:dyDescent="0.2">
      <c r="A207" s="32">
        <v>639</v>
      </c>
      <c r="B207" s="260"/>
      <c r="C207" s="120"/>
      <c r="D207" s="107" t="s">
        <v>27</v>
      </c>
      <c r="E207" s="254"/>
      <c r="F207" s="145"/>
      <c r="G207" s="145"/>
      <c r="H207" s="33" t="s">
        <v>187</v>
      </c>
      <c r="I207" s="107"/>
      <c r="J207" s="107"/>
      <c r="K207" s="39"/>
      <c r="L207" s="118" t="s">
        <v>1077</v>
      </c>
      <c r="M207" s="147" t="s">
        <v>1072</v>
      </c>
      <c r="N207" s="42" t="s">
        <v>76</v>
      </c>
      <c r="O207" s="148" t="s">
        <v>314</v>
      </c>
      <c r="P207" s="46" t="s">
        <v>1073</v>
      </c>
      <c r="Q207" s="46" t="s">
        <v>1074</v>
      </c>
      <c r="R207" s="257"/>
      <c r="S207" s="45">
        <f t="shared" si="47"/>
        <v>738941.8</v>
      </c>
      <c r="T207" s="45">
        <v>738941.8</v>
      </c>
      <c r="U207" s="45">
        <v>0</v>
      </c>
      <c r="V207" s="109" t="s">
        <v>1076</v>
      </c>
      <c r="W207" s="63">
        <v>41932</v>
      </c>
      <c r="X207" s="48"/>
      <c r="Y207" s="109" t="s">
        <v>234</v>
      </c>
      <c r="Z207" s="45"/>
      <c r="AA207" s="45"/>
      <c r="AB207" s="45">
        <f t="shared" si="40"/>
        <v>0</v>
      </c>
      <c r="AC207" s="48"/>
      <c r="AD207" s="63"/>
      <c r="AE207" s="51">
        <f t="shared" si="48"/>
        <v>0</v>
      </c>
      <c r="AF207" s="52">
        <f t="shared" si="49"/>
        <v>644.40000000002328</v>
      </c>
      <c r="AG207" s="52">
        <v>738297.4</v>
      </c>
      <c r="AH207" s="52">
        <f>221489.22+18974.22+42050.43+43152.39+28523.03+33262.56+35535.6</f>
        <v>422987.45</v>
      </c>
      <c r="AI207" s="52">
        <f t="shared" si="45"/>
        <v>315309.95</v>
      </c>
      <c r="AJ207" s="124">
        <v>0</v>
      </c>
      <c r="AK207" s="45">
        <v>0</v>
      </c>
      <c r="AL207" s="52">
        <f t="shared" si="41"/>
        <v>0</v>
      </c>
      <c r="AM207" s="52">
        <f t="shared" si="42"/>
        <v>738297.4</v>
      </c>
      <c r="AN207" s="51">
        <f t="shared" si="50"/>
        <v>422987.45</v>
      </c>
      <c r="AO207" s="51">
        <f t="shared" si="44"/>
        <v>315309.95</v>
      </c>
      <c r="AP207" s="125"/>
      <c r="AQ207" s="52">
        <v>190938.98</v>
      </c>
      <c r="AR207" s="51">
        <f>7010.19+28239.77+10538.07+12289.12+12289.12+13128.92</f>
        <v>83495.19</v>
      </c>
      <c r="AS207" s="51">
        <f t="shared" si="51"/>
        <v>107443.79000000001</v>
      </c>
      <c r="AT207" s="51">
        <f t="shared" si="46"/>
        <v>315954.35000000003</v>
      </c>
      <c r="AU207" s="48"/>
      <c r="AV207" s="46"/>
    </row>
    <row r="208" spans="1:48" ht="33" hidden="1" x14ac:dyDescent="0.2">
      <c r="A208" s="32">
        <v>639</v>
      </c>
      <c r="B208" s="260"/>
      <c r="C208" s="120"/>
      <c r="D208" s="107"/>
      <c r="E208" s="254"/>
      <c r="F208" s="145"/>
      <c r="G208" s="145"/>
      <c r="H208" s="33" t="s">
        <v>187</v>
      </c>
      <c r="I208" s="107"/>
      <c r="J208" s="107"/>
      <c r="K208" s="39"/>
      <c r="L208" s="118" t="s">
        <v>1078</v>
      </c>
      <c r="M208" s="147" t="s">
        <v>1072</v>
      </c>
      <c r="N208" s="42" t="s">
        <v>76</v>
      </c>
      <c r="O208" s="148" t="s">
        <v>314</v>
      </c>
      <c r="P208" s="46" t="s">
        <v>1073</v>
      </c>
      <c r="Q208" s="46" t="s">
        <v>1074</v>
      </c>
      <c r="R208" s="257"/>
      <c r="S208" s="45">
        <f t="shared" si="47"/>
        <v>298776.40000000002</v>
      </c>
      <c r="T208" s="45">
        <v>298776.40000000002</v>
      </c>
      <c r="U208" s="45">
        <v>0</v>
      </c>
      <c r="V208" s="109" t="s">
        <v>1076</v>
      </c>
      <c r="W208" s="63">
        <v>41932</v>
      </c>
      <c r="X208" s="48"/>
      <c r="Y208" s="109" t="s">
        <v>234</v>
      </c>
      <c r="Z208" s="45"/>
      <c r="AA208" s="45"/>
      <c r="AB208" s="45">
        <f t="shared" si="40"/>
        <v>0</v>
      </c>
      <c r="AC208" s="48"/>
      <c r="AD208" s="63"/>
      <c r="AE208" s="51">
        <f t="shared" si="48"/>
        <v>0</v>
      </c>
      <c r="AF208" s="52">
        <f t="shared" si="49"/>
        <v>260.55000000004657</v>
      </c>
      <c r="AG208" s="52">
        <v>298515.84999999998</v>
      </c>
      <c r="AH208" s="52">
        <f>89554.76+7671.86+17002.26+17447.8+11532.72+13449.05+14368.11</f>
        <v>171026.56</v>
      </c>
      <c r="AI208" s="52">
        <f t="shared" si="45"/>
        <v>127489.28999999998</v>
      </c>
      <c r="AJ208" s="124">
        <v>0</v>
      </c>
      <c r="AK208" s="45">
        <v>0</v>
      </c>
      <c r="AL208" s="52">
        <f t="shared" si="41"/>
        <v>0</v>
      </c>
      <c r="AM208" s="52">
        <f t="shared" si="42"/>
        <v>298515.84999999998</v>
      </c>
      <c r="AN208" s="51">
        <f t="shared" si="50"/>
        <v>171026.56</v>
      </c>
      <c r="AO208" s="51">
        <f t="shared" si="44"/>
        <v>127489.28999999998</v>
      </c>
      <c r="AP208" s="125"/>
      <c r="AQ208" s="52">
        <v>77202.38</v>
      </c>
      <c r="AR208" s="51">
        <f>2834.43+15943+4260.86+4968.86+4968.86+5308.42</f>
        <v>38284.43</v>
      </c>
      <c r="AS208" s="51">
        <f t="shared" ref="AS208:AS264" si="52">SUM(AQ208-AR208)</f>
        <v>38917.950000000004</v>
      </c>
      <c r="AT208" s="51">
        <f t="shared" si="46"/>
        <v>127749.84000000003</v>
      </c>
      <c r="AU208" s="48"/>
      <c r="AV208" s="46"/>
    </row>
    <row r="209" spans="1:54" ht="33" hidden="1" x14ac:dyDescent="0.2">
      <c r="A209" s="32">
        <v>639</v>
      </c>
      <c r="B209" s="260"/>
      <c r="C209" s="120"/>
      <c r="D209" s="107"/>
      <c r="E209" s="254"/>
      <c r="F209" s="145"/>
      <c r="G209" s="145"/>
      <c r="H209" s="33" t="s">
        <v>187</v>
      </c>
      <c r="I209" s="107"/>
      <c r="J209" s="107"/>
      <c r="K209" s="39"/>
      <c r="L209" s="118" t="s">
        <v>1079</v>
      </c>
      <c r="M209" s="147" t="s">
        <v>1072</v>
      </c>
      <c r="N209" s="42" t="s">
        <v>76</v>
      </c>
      <c r="O209" s="148" t="s">
        <v>314</v>
      </c>
      <c r="P209" s="46" t="s">
        <v>1073</v>
      </c>
      <c r="Q209" s="46" t="s">
        <v>1074</v>
      </c>
      <c r="R209" s="257"/>
      <c r="S209" s="45">
        <f t="shared" si="47"/>
        <v>7336374.6500000004</v>
      </c>
      <c r="T209" s="45">
        <v>7336374.6500000004</v>
      </c>
      <c r="U209" s="45">
        <v>0</v>
      </c>
      <c r="V209" s="109" t="s">
        <v>1076</v>
      </c>
      <c r="W209" s="63">
        <v>41932</v>
      </c>
      <c r="X209" s="48"/>
      <c r="Y209" s="109" t="s">
        <v>234</v>
      </c>
      <c r="Z209" s="45"/>
      <c r="AA209" s="45"/>
      <c r="AB209" s="45">
        <f t="shared" si="40"/>
        <v>0</v>
      </c>
      <c r="AC209" s="48"/>
      <c r="AD209" s="63"/>
      <c r="AE209" s="51">
        <f t="shared" si="48"/>
        <v>0</v>
      </c>
      <c r="AF209" s="52">
        <f t="shared" si="49"/>
        <v>6397.7400000002235</v>
      </c>
      <c r="AG209" s="52">
        <v>7329976.9100000001</v>
      </c>
      <c r="AH209" s="52">
        <f>2198993.08+188380.32+417485.77+428426.34+283182.89+330237.85+352805.18</f>
        <v>4199511.43</v>
      </c>
      <c r="AI209" s="52">
        <f t="shared" si="45"/>
        <v>3130465.4800000004</v>
      </c>
      <c r="AJ209" s="124">
        <v>0</v>
      </c>
      <c r="AK209" s="45">
        <v>0</v>
      </c>
      <c r="AL209" s="52">
        <f t="shared" si="41"/>
        <v>0</v>
      </c>
      <c r="AM209" s="52">
        <f t="shared" si="42"/>
        <v>7329976.9100000001</v>
      </c>
      <c r="AN209" s="51">
        <f t="shared" si="50"/>
        <v>4199511.43</v>
      </c>
      <c r="AO209" s="51">
        <f t="shared" si="44"/>
        <v>3130465.4800000004</v>
      </c>
      <c r="AP209" s="125"/>
      <c r="AQ209" s="52">
        <v>1895683.69</v>
      </c>
      <c r="AR209" s="51">
        <f>69598.64+6446.24+104624.22+122009.06+122009.06+130346.74</f>
        <v>555033.96000000008</v>
      </c>
      <c r="AS209" s="51">
        <f t="shared" si="52"/>
        <v>1340649.73</v>
      </c>
      <c r="AT209" s="51">
        <f t="shared" si="46"/>
        <v>3136863.2200000007</v>
      </c>
      <c r="AU209" s="48"/>
      <c r="AV209" s="46"/>
    </row>
    <row r="210" spans="1:54" ht="33" hidden="1" x14ac:dyDescent="0.2">
      <c r="A210" s="32">
        <v>639</v>
      </c>
      <c r="B210" s="260"/>
      <c r="C210" s="120"/>
      <c r="D210" s="107"/>
      <c r="E210" s="254"/>
      <c r="F210" s="145"/>
      <c r="G210" s="145"/>
      <c r="H210" s="33" t="s">
        <v>187</v>
      </c>
      <c r="I210" s="107"/>
      <c r="J210" s="107"/>
      <c r="K210" s="39"/>
      <c r="L210" s="118" t="s">
        <v>1080</v>
      </c>
      <c r="M210" s="147" t="s">
        <v>1072</v>
      </c>
      <c r="N210" s="42" t="s">
        <v>76</v>
      </c>
      <c r="O210" s="148" t="s">
        <v>314</v>
      </c>
      <c r="P210" s="46" t="s">
        <v>1073</v>
      </c>
      <c r="Q210" s="46" t="s">
        <v>1074</v>
      </c>
      <c r="R210" s="257"/>
      <c r="S210" s="45">
        <f t="shared" si="47"/>
        <v>172251.25</v>
      </c>
      <c r="T210" s="45">
        <v>172251.25</v>
      </c>
      <c r="U210" s="45">
        <v>0</v>
      </c>
      <c r="V210" s="109" t="s">
        <v>1076</v>
      </c>
      <c r="W210" s="63">
        <v>41932</v>
      </c>
      <c r="X210" s="48"/>
      <c r="Y210" s="109" t="s">
        <v>234</v>
      </c>
      <c r="Z210" s="45"/>
      <c r="AA210" s="45"/>
      <c r="AB210" s="45">
        <f t="shared" si="40"/>
        <v>0</v>
      </c>
      <c r="AC210" s="48"/>
      <c r="AD210" s="63"/>
      <c r="AE210" s="51">
        <f t="shared" si="48"/>
        <v>0</v>
      </c>
      <c r="AF210" s="52">
        <f t="shared" si="49"/>
        <v>150.20000000001164</v>
      </c>
      <c r="AG210" s="52">
        <v>172101.05</v>
      </c>
      <c r="AH210" s="52">
        <f>51630.31+4423+9802.19+10059.04+6648.86+7753.67+8283.54</f>
        <v>98600.610000000015</v>
      </c>
      <c r="AI210" s="52">
        <f t="shared" si="45"/>
        <v>73500.439999999973</v>
      </c>
      <c r="AJ210" s="124">
        <v>0</v>
      </c>
      <c r="AK210" s="45">
        <v>0</v>
      </c>
      <c r="AL210" s="52">
        <f t="shared" si="41"/>
        <v>0</v>
      </c>
      <c r="AM210" s="52">
        <f t="shared" si="42"/>
        <v>172101.05</v>
      </c>
      <c r="AN210" s="51">
        <f t="shared" si="50"/>
        <v>98600.610000000015</v>
      </c>
      <c r="AO210" s="51">
        <f t="shared" si="44"/>
        <v>73500.439999999973</v>
      </c>
      <c r="AP210" s="125"/>
      <c r="AQ210" s="52">
        <v>44508.89</v>
      </c>
      <c r="AR210" s="51">
        <f>1634.11+3716.4+2456.48+2864.66+2864.66+3060.42</f>
        <v>16596.73</v>
      </c>
      <c r="AS210" s="51">
        <f t="shared" si="52"/>
        <v>27912.16</v>
      </c>
      <c r="AT210" s="51">
        <f t="shared" si="46"/>
        <v>73650.639999999985</v>
      </c>
      <c r="AU210" s="48"/>
      <c r="AV210" s="46"/>
    </row>
    <row r="211" spans="1:54" ht="33" hidden="1" x14ac:dyDescent="0.2">
      <c r="A211" s="32">
        <v>639</v>
      </c>
      <c r="B211" s="261"/>
      <c r="C211" s="116"/>
      <c r="D211" s="107"/>
      <c r="E211" s="255"/>
      <c r="F211" s="149"/>
      <c r="G211" s="149"/>
      <c r="H211" s="150" t="s">
        <v>1081</v>
      </c>
      <c r="I211" s="107"/>
      <c r="J211" s="107"/>
      <c r="K211" s="39"/>
      <c r="L211" s="118" t="s">
        <v>1082</v>
      </c>
      <c r="M211" s="147" t="s">
        <v>1072</v>
      </c>
      <c r="N211" s="42" t="s">
        <v>76</v>
      </c>
      <c r="O211" s="148" t="s">
        <v>314</v>
      </c>
      <c r="P211" s="46" t="s">
        <v>1073</v>
      </c>
      <c r="Q211" s="46" t="s">
        <v>1074</v>
      </c>
      <c r="R211" s="258"/>
      <c r="S211" s="45">
        <f t="shared" si="47"/>
        <v>2310000</v>
      </c>
      <c r="T211" s="45">
        <v>2310000</v>
      </c>
      <c r="U211" s="45">
        <v>0</v>
      </c>
      <c r="V211" s="109" t="s">
        <v>1083</v>
      </c>
      <c r="W211" s="63">
        <v>41073</v>
      </c>
      <c r="X211" s="48"/>
      <c r="Y211" s="109" t="s">
        <v>234</v>
      </c>
      <c r="Z211" s="45"/>
      <c r="AA211" s="45"/>
      <c r="AB211" s="45">
        <f t="shared" si="40"/>
        <v>0</v>
      </c>
      <c r="AC211" s="48"/>
      <c r="AD211" s="63"/>
      <c r="AE211" s="51">
        <f t="shared" si="48"/>
        <v>0</v>
      </c>
      <c r="AF211" s="52">
        <f t="shared" si="49"/>
        <v>2014.4599999999627</v>
      </c>
      <c r="AG211" s="52">
        <v>2307985.54</v>
      </c>
      <c r="AH211" s="52">
        <f>692395.66+59315.21+131453.48+134898.38+89165.65+103981.79+111087.56</f>
        <v>1322297.73</v>
      </c>
      <c r="AI211" s="52">
        <f t="shared" si="45"/>
        <v>985687.81</v>
      </c>
      <c r="AJ211" s="124">
        <v>0</v>
      </c>
      <c r="AK211" s="45">
        <v>0</v>
      </c>
      <c r="AL211" s="52">
        <f t="shared" si="41"/>
        <v>0</v>
      </c>
      <c r="AM211" s="52">
        <f t="shared" si="42"/>
        <v>2307985.54</v>
      </c>
      <c r="AN211" s="51">
        <f t="shared" si="50"/>
        <v>1322297.73</v>
      </c>
      <c r="AO211" s="51">
        <f t="shared" si="44"/>
        <v>985687.81</v>
      </c>
      <c r="AP211" s="125"/>
      <c r="AQ211" s="52">
        <v>596892.81000000006</v>
      </c>
      <c r="AR211" s="51">
        <f>21914.48+49839.29+32942.97+38416.92+38416.92+41042.2</f>
        <v>222572.78000000003</v>
      </c>
      <c r="AS211" s="51">
        <f t="shared" si="52"/>
        <v>374320.03</v>
      </c>
      <c r="AT211" s="51">
        <f t="shared" si="46"/>
        <v>987702.27</v>
      </c>
      <c r="AU211" s="48"/>
      <c r="AV211" s="46"/>
    </row>
    <row r="212" spans="1:54" ht="33" hidden="1" x14ac:dyDescent="0.2">
      <c r="A212" s="32">
        <v>639</v>
      </c>
      <c r="B212" s="259" t="s">
        <v>1084</v>
      </c>
      <c r="C212" s="119"/>
      <c r="D212" s="107"/>
      <c r="E212" s="253" t="s">
        <v>1085</v>
      </c>
      <c r="F212" s="82"/>
      <c r="G212" s="82"/>
      <c r="H212" s="33" t="s">
        <v>187</v>
      </c>
      <c r="I212" s="107"/>
      <c r="J212" s="107"/>
      <c r="K212" s="39"/>
      <c r="L212" s="118" t="s">
        <v>1086</v>
      </c>
      <c r="M212" s="147" t="s">
        <v>1072</v>
      </c>
      <c r="N212" s="42" t="s">
        <v>76</v>
      </c>
      <c r="O212" s="148" t="s">
        <v>314</v>
      </c>
      <c r="P212" s="46" t="s">
        <v>104</v>
      </c>
      <c r="Q212" s="46" t="s">
        <v>1087</v>
      </c>
      <c r="R212" s="256" t="s">
        <v>1084</v>
      </c>
      <c r="S212" s="45">
        <f t="shared" si="47"/>
        <v>11592.089999999998</v>
      </c>
      <c r="T212" s="45">
        <f>11592.71-0.62</f>
        <v>11592.089999999998</v>
      </c>
      <c r="U212" s="45">
        <v>0</v>
      </c>
      <c r="V212" s="109" t="s">
        <v>1088</v>
      </c>
      <c r="W212" s="63">
        <v>41794</v>
      </c>
      <c r="X212" s="48"/>
      <c r="Y212" s="109" t="s">
        <v>234</v>
      </c>
      <c r="Z212" s="45"/>
      <c r="AA212" s="45"/>
      <c r="AB212" s="45">
        <f t="shared" si="40"/>
        <v>0</v>
      </c>
      <c r="AC212" s="48"/>
      <c r="AD212" s="63"/>
      <c r="AE212" s="51">
        <f t="shared" si="48"/>
        <v>0</v>
      </c>
      <c r="AF212" s="52">
        <f t="shared" si="49"/>
        <v>-1.8189894035458565E-12</v>
      </c>
      <c r="AG212" s="52">
        <v>11592.09</v>
      </c>
      <c r="AH212" s="52">
        <f>8501.87+3090.22</f>
        <v>11592.09</v>
      </c>
      <c r="AI212" s="52">
        <f t="shared" si="45"/>
        <v>0</v>
      </c>
      <c r="AJ212" s="124">
        <v>0</v>
      </c>
      <c r="AK212" s="45">
        <v>0</v>
      </c>
      <c r="AL212" s="52">
        <f t="shared" si="41"/>
        <v>0</v>
      </c>
      <c r="AM212" s="52">
        <f t="shared" si="42"/>
        <v>11592.09</v>
      </c>
      <c r="AN212" s="51">
        <f t="shared" si="50"/>
        <v>11592.09</v>
      </c>
      <c r="AO212" s="51">
        <f t="shared" si="44"/>
        <v>0</v>
      </c>
      <c r="AP212" s="125" t="s">
        <v>83</v>
      </c>
      <c r="AQ212" s="52">
        <v>0</v>
      </c>
      <c r="AR212" s="51">
        <v>0</v>
      </c>
      <c r="AS212" s="51">
        <f t="shared" si="52"/>
        <v>0</v>
      </c>
      <c r="AT212" s="126">
        <f t="shared" si="46"/>
        <v>-1.8189894035458565E-12</v>
      </c>
      <c r="AU212" s="48"/>
      <c r="AV212" s="46"/>
    </row>
    <row r="213" spans="1:54" ht="33" hidden="1" x14ac:dyDescent="0.2">
      <c r="A213" s="32">
        <v>639</v>
      </c>
      <c r="B213" s="260"/>
      <c r="C213" s="120"/>
      <c r="D213" s="107"/>
      <c r="E213" s="254"/>
      <c r="F213" s="84"/>
      <c r="G213" s="84"/>
      <c r="H213" s="33" t="s">
        <v>187</v>
      </c>
      <c r="I213" s="107"/>
      <c r="J213" s="107"/>
      <c r="K213" s="39"/>
      <c r="L213" s="118" t="s">
        <v>1089</v>
      </c>
      <c r="M213" s="147" t="s">
        <v>1072</v>
      </c>
      <c r="N213" s="42" t="s">
        <v>76</v>
      </c>
      <c r="O213" s="148" t="s">
        <v>314</v>
      </c>
      <c r="P213" s="46" t="s">
        <v>104</v>
      </c>
      <c r="Q213" s="46" t="s">
        <v>1087</v>
      </c>
      <c r="R213" s="257"/>
      <c r="S213" s="45">
        <f t="shared" si="47"/>
        <v>73255.210000000006</v>
      </c>
      <c r="T213" s="45">
        <v>73255.210000000006</v>
      </c>
      <c r="U213" s="45">
        <v>0</v>
      </c>
      <c r="V213" s="109" t="s">
        <v>1088</v>
      </c>
      <c r="W213" s="63">
        <v>41794</v>
      </c>
      <c r="X213" s="48"/>
      <c r="Y213" s="109" t="s">
        <v>234</v>
      </c>
      <c r="Z213" s="45"/>
      <c r="AA213" s="45"/>
      <c r="AB213" s="45">
        <f t="shared" si="40"/>
        <v>0</v>
      </c>
      <c r="AC213" s="48"/>
      <c r="AD213" s="63"/>
      <c r="AE213" s="51">
        <f t="shared" si="48"/>
        <v>0</v>
      </c>
      <c r="AF213" s="52">
        <f t="shared" si="49"/>
        <v>3.9100000000034925</v>
      </c>
      <c r="AG213" s="52">
        <v>73251.3</v>
      </c>
      <c r="AH213" s="52">
        <f>53723.98+19527.31</f>
        <v>73251.290000000008</v>
      </c>
      <c r="AI213" s="52">
        <f t="shared" si="45"/>
        <v>9.9999999947613105E-3</v>
      </c>
      <c r="AJ213" s="124">
        <v>0</v>
      </c>
      <c r="AK213" s="45">
        <v>0</v>
      </c>
      <c r="AL213" s="52">
        <f t="shared" si="41"/>
        <v>0</v>
      </c>
      <c r="AM213" s="52">
        <f t="shared" si="42"/>
        <v>73251.3</v>
      </c>
      <c r="AN213" s="51">
        <f t="shared" si="50"/>
        <v>73251.290000000008</v>
      </c>
      <c r="AO213" s="51">
        <f t="shared" si="44"/>
        <v>9.9999999947613105E-3</v>
      </c>
      <c r="AP213" s="125" t="s">
        <v>83</v>
      </c>
      <c r="AQ213" s="52">
        <v>0</v>
      </c>
      <c r="AR213" s="51">
        <v>0</v>
      </c>
      <c r="AS213" s="51">
        <f t="shared" si="52"/>
        <v>0</v>
      </c>
      <c r="AT213" s="51">
        <f t="shared" si="46"/>
        <v>3.9199999999982538</v>
      </c>
      <c r="AU213" s="48"/>
      <c r="AV213" s="46"/>
    </row>
    <row r="214" spans="1:54" ht="33" hidden="1" x14ac:dyDescent="0.2">
      <c r="A214" s="32">
        <v>639</v>
      </c>
      <c r="B214" s="260"/>
      <c r="C214" s="120"/>
      <c r="D214" s="107"/>
      <c r="E214" s="254"/>
      <c r="F214" s="84"/>
      <c r="G214" s="84"/>
      <c r="H214" s="33" t="s">
        <v>187</v>
      </c>
      <c r="I214" s="107"/>
      <c r="J214" s="107"/>
      <c r="K214" s="39"/>
      <c r="L214" s="118" t="s">
        <v>1090</v>
      </c>
      <c r="M214" s="147" t="s">
        <v>1072</v>
      </c>
      <c r="N214" s="42" t="s">
        <v>76</v>
      </c>
      <c r="O214" s="148" t="s">
        <v>314</v>
      </c>
      <c r="P214" s="46" t="s">
        <v>104</v>
      </c>
      <c r="Q214" s="46" t="s">
        <v>1087</v>
      </c>
      <c r="R214" s="257"/>
      <c r="S214" s="45">
        <f t="shared" si="47"/>
        <v>1288.5600000000002</v>
      </c>
      <c r="T214" s="45">
        <f>1288.63-0.07</f>
        <v>1288.5600000000002</v>
      </c>
      <c r="U214" s="45">
        <v>0</v>
      </c>
      <c r="V214" s="109" t="s">
        <v>1088</v>
      </c>
      <c r="W214" s="63">
        <v>41794</v>
      </c>
      <c r="X214" s="48"/>
      <c r="Y214" s="109" t="s">
        <v>234</v>
      </c>
      <c r="Z214" s="45"/>
      <c r="AA214" s="45"/>
      <c r="AB214" s="45">
        <f t="shared" si="40"/>
        <v>0</v>
      </c>
      <c r="AC214" s="48"/>
      <c r="AD214" s="63"/>
      <c r="AE214" s="51">
        <f t="shared" si="48"/>
        <v>0</v>
      </c>
      <c r="AF214" s="52">
        <f t="shared" si="49"/>
        <v>2.2737367544323206E-13</v>
      </c>
      <c r="AG214" s="52">
        <v>1288.56</v>
      </c>
      <c r="AH214" s="52">
        <f>945.05+343.51</f>
        <v>1288.56</v>
      </c>
      <c r="AI214" s="52">
        <f t="shared" si="45"/>
        <v>0</v>
      </c>
      <c r="AJ214" s="124">
        <v>0</v>
      </c>
      <c r="AK214" s="45">
        <v>0</v>
      </c>
      <c r="AL214" s="52">
        <f t="shared" si="41"/>
        <v>0</v>
      </c>
      <c r="AM214" s="52">
        <f t="shared" si="42"/>
        <v>1288.56</v>
      </c>
      <c r="AN214" s="51">
        <f t="shared" si="50"/>
        <v>1288.56</v>
      </c>
      <c r="AO214" s="51">
        <f t="shared" si="44"/>
        <v>0</v>
      </c>
      <c r="AP214" s="125" t="s">
        <v>83</v>
      </c>
      <c r="AQ214" s="52">
        <v>0</v>
      </c>
      <c r="AR214" s="51">
        <v>0</v>
      </c>
      <c r="AS214" s="51">
        <f t="shared" si="52"/>
        <v>0</v>
      </c>
      <c r="AT214" s="126">
        <f t="shared" si="46"/>
        <v>2.2737367544323206E-13</v>
      </c>
      <c r="AU214" s="48"/>
      <c r="AV214" s="46"/>
    </row>
    <row r="215" spans="1:54" ht="33" hidden="1" x14ac:dyDescent="0.2">
      <c r="A215" s="32">
        <v>639</v>
      </c>
      <c r="B215" s="260"/>
      <c r="C215" s="120"/>
      <c r="D215" s="107"/>
      <c r="E215" s="254"/>
      <c r="F215" s="84"/>
      <c r="G215" s="84"/>
      <c r="H215" s="33" t="s">
        <v>187</v>
      </c>
      <c r="I215" s="107"/>
      <c r="J215" s="107"/>
      <c r="K215" s="39"/>
      <c r="L215" s="118" t="s">
        <v>1091</v>
      </c>
      <c r="M215" s="147" t="s">
        <v>1072</v>
      </c>
      <c r="N215" s="42" t="s">
        <v>76</v>
      </c>
      <c r="O215" s="148" t="s">
        <v>314</v>
      </c>
      <c r="P215" s="46" t="s">
        <v>104</v>
      </c>
      <c r="Q215" s="46" t="s">
        <v>1087</v>
      </c>
      <c r="R215" s="257"/>
      <c r="S215" s="45">
        <f t="shared" si="47"/>
        <v>160000</v>
      </c>
      <c r="T215" s="45">
        <v>160000</v>
      </c>
      <c r="U215" s="45">
        <v>0</v>
      </c>
      <c r="V215" s="109" t="s">
        <v>1088</v>
      </c>
      <c r="W215" s="63">
        <v>41794</v>
      </c>
      <c r="X215" s="48"/>
      <c r="Y215" s="109" t="s">
        <v>234</v>
      </c>
      <c r="Z215" s="45"/>
      <c r="AA215" s="45"/>
      <c r="AB215" s="45">
        <f t="shared" si="40"/>
        <v>0</v>
      </c>
      <c r="AC215" s="48"/>
      <c r="AD215" s="63"/>
      <c r="AE215" s="51">
        <f t="shared" si="48"/>
        <v>0</v>
      </c>
      <c r="AF215" s="52">
        <f t="shared" si="49"/>
        <v>8.5499999999883585</v>
      </c>
      <c r="AG215" s="52">
        <v>159991.45000000001</v>
      </c>
      <c r="AH215" s="52">
        <f>117340.96+42650.49</f>
        <v>159991.45000000001</v>
      </c>
      <c r="AI215" s="52">
        <f t="shared" si="45"/>
        <v>0</v>
      </c>
      <c r="AJ215" s="124">
        <v>0</v>
      </c>
      <c r="AK215" s="45">
        <v>0</v>
      </c>
      <c r="AL215" s="52">
        <f t="shared" si="41"/>
        <v>0</v>
      </c>
      <c r="AM215" s="52">
        <f t="shared" si="42"/>
        <v>159991.45000000001</v>
      </c>
      <c r="AN215" s="51">
        <f t="shared" si="50"/>
        <v>159991.45000000001</v>
      </c>
      <c r="AO215" s="51">
        <f t="shared" si="44"/>
        <v>0</v>
      </c>
      <c r="AP215" s="125" t="s">
        <v>83</v>
      </c>
      <c r="AQ215" s="52">
        <v>0</v>
      </c>
      <c r="AR215" s="51">
        <v>0</v>
      </c>
      <c r="AS215" s="51">
        <f t="shared" si="52"/>
        <v>0</v>
      </c>
      <c r="AT215" s="51">
        <f t="shared" si="46"/>
        <v>8.5499999999883585</v>
      </c>
      <c r="AU215" s="48"/>
      <c r="AV215" s="46"/>
    </row>
    <row r="216" spans="1:54" ht="33" hidden="1" x14ac:dyDescent="0.2">
      <c r="A216" s="32">
        <v>639</v>
      </c>
      <c r="B216" s="261"/>
      <c r="C216" s="116"/>
      <c r="D216" s="107"/>
      <c r="E216" s="254"/>
      <c r="F216" s="84"/>
      <c r="G216" s="84"/>
      <c r="H216" s="33" t="s">
        <v>187</v>
      </c>
      <c r="I216" s="107"/>
      <c r="J216" s="107"/>
      <c r="K216" s="39"/>
      <c r="L216" s="118" t="s">
        <v>1092</v>
      </c>
      <c r="M216" s="147" t="s">
        <v>1072</v>
      </c>
      <c r="N216" s="42" t="s">
        <v>76</v>
      </c>
      <c r="O216" s="148" t="s">
        <v>314</v>
      </c>
      <c r="P216" s="46" t="s">
        <v>104</v>
      </c>
      <c r="Q216" s="46" t="s">
        <v>1087</v>
      </c>
      <c r="R216" s="257"/>
      <c r="S216" s="45">
        <f t="shared" si="47"/>
        <v>88766.52</v>
      </c>
      <c r="T216" s="45">
        <v>88766.52</v>
      </c>
      <c r="U216" s="45">
        <v>0</v>
      </c>
      <c r="V216" s="109" t="s">
        <v>1088</v>
      </c>
      <c r="W216" s="63">
        <v>41794</v>
      </c>
      <c r="X216" s="48"/>
      <c r="Y216" s="109" t="s">
        <v>234</v>
      </c>
      <c r="Z216" s="45"/>
      <c r="AA216" s="45"/>
      <c r="AB216" s="45">
        <f t="shared" si="40"/>
        <v>0</v>
      </c>
      <c r="AC216" s="48"/>
      <c r="AD216" s="63"/>
      <c r="AE216" s="51">
        <f t="shared" si="48"/>
        <v>0</v>
      </c>
      <c r="AF216" s="52">
        <f t="shared" si="49"/>
        <v>4.7400000000052387</v>
      </c>
      <c r="AG216" s="52">
        <v>88761.78</v>
      </c>
      <c r="AH216" s="52">
        <f>65099.68+23662.1</f>
        <v>88761.78</v>
      </c>
      <c r="AI216" s="52">
        <f t="shared" si="45"/>
        <v>0</v>
      </c>
      <c r="AJ216" s="124">
        <v>0</v>
      </c>
      <c r="AK216" s="45">
        <v>0</v>
      </c>
      <c r="AL216" s="52">
        <f t="shared" si="41"/>
        <v>0</v>
      </c>
      <c r="AM216" s="52">
        <f t="shared" si="42"/>
        <v>88761.78</v>
      </c>
      <c r="AN216" s="51">
        <f t="shared" si="50"/>
        <v>88761.78</v>
      </c>
      <c r="AO216" s="51">
        <f t="shared" si="44"/>
        <v>0</v>
      </c>
      <c r="AP216" s="125" t="s">
        <v>83</v>
      </c>
      <c r="AQ216" s="52">
        <v>0</v>
      </c>
      <c r="AR216" s="51">
        <v>0</v>
      </c>
      <c r="AS216" s="51">
        <f t="shared" si="52"/>
        <v>0</v>
      </c>
      <c r="AT216" s="51">
        <f t="shared" si="46"/>
        <v>4.7400000000052387</v>
      </c>
      <c r="AU216" s="48"/>
      <c r="AV216" s="46"/>
    </row>
    <row r="217" spans="1:54" ht="33" hidden="1" x14ac:dyDescent="0.2">
      <c r="A217" s="32">
        <v>639</v>
      </c>
      <c r="B217" s="127" t="s">
        <v>1093</v>
      </c>
      <c r="C217" s="128"/>
      <c r="D217" s="107"/>
      <c r="E217" s="255"/>
      <c r="F217" s="36"/>
      <c r="G217" s="36"/>
      <c r="H217" s="33" t="s">
        <v>1081</v>
      </c>
      <c r="I217" s="107"/>
      <c r="J217" s="107"/>
      <c r="K217" s="39"/>
      <c r="L217" s="118" t="s">
        <v>1092</v>
      </c>
      <c r="M217" s="147" t="s">
        <v>1072</v>
      </c>
      <c r="N217" s="42" t="s">
        <v>76</v>
      </c>
      <c r="O217" s="148" t="s">
        <v>314</v>
      </c>
      <c r="P217" s="46" t="s">
        <v>104</v>
      </c>
      <c r="Q217" s="46" t="s">
        <v>1087</v>
      </c>
      <c r="R217" s="258"/>
      <c r="S217" s="45">
        <f t="shared" si="47"/>
        <v>5032.9299999999994</v>
      </c>
      <c r="T217" s="45">
        <f>5033.2-0.27</f>
        <v>5032.9299999999994</v>
      </c>
      <c r="U217" s="45">
        <v>0</v>
      </c>
      <c r="V217" s="109" t="s">
        <v>1088</v>
      </c>
      <c r="W217" s="63">
        <v>41794</v>
      </c>
      <c r="X217" s="48"/>
      <c r="Y217" s="109" t="s">
        <v>234</v>
      </c>
      <c r="Z217" s="45"/>
      <c r="AA217" s="45"/>
      <c r="AB217" s="45">
        <f t="shared" si="40"/>
        <v>0</v>
      </c>
      <c r="AC217" s="48"/>
      <c r="AD217" s="63"/>
      <c r="AE217" s="51">
        <f t="shared" si="48"/>
        <v>0</v>
      </c>
      <c r="AF217" s="52">
        <f t="shared" si="49"/>
        <v>-9.0949470177292824E-13</v>
      </c>
      <c r="AG217" s="52">
        <v>5032.93</v>
      </c>
      <c r="AH217" s="52">
        <f>3691.26+1341.67</f>
        <v>5032.93</v>
      </c>
      <c r="AI217" s="52">
        <f t="shared" si="45"/>
        <v>0</v>
      </c>
      <c r="AJ217" s="124">
        <v>0</v>
      </c>
      <c r="AK217" s="45">
        <v>0</v>
      </c>
      <c r="AL217" s="52">
        <f t="shared" si="41"/>
        <v>0</v>
      </c>
      <c r="AM217" s="52">
        <f t="shared" si="42"/>
        <v>5032.93</v>
      </c>
      <c r="AN217" s="51">
        <f t="shared" si="50"/>
        <v>5032.93</v>
      </c>
      <c r="AO217" s="51">
        <f t="shared" si="44"/>
        <v>0</v>
      </c>
      <c r="AP217" s="125" t="s">
        <v>83</v>
      </c>
      <c r="AQ217" s="52">
        <v>0</v>
      </c>
      <c r="AR217" s="51">
        <v>0</v>
      </c>
      <c r="AS217" s="51">
        <f t="shared" si="52"/>
        <v>0</v>
      </c>
      <c r="AT217" s="126">
        <f t="shared" si="46"/>
        <v>-9.0949470177292824E-13</v>
      </c>
      <c r="AU217" s="48"/>
      <c r="AV217" s="46"/>
    </row>
    <row r="218" spans="1:54" ht="27" hidden="1" x14ac:dyDescent="0.2">
      <c r="A218" s="32">
        <v>636</v>
      </c>
      <c r="B218" s="105" t="s">
        <v>1094</v>
      </c>
      <c r="C218" s="106"/>
      <c r="D218" s="107">
        <v>405</v>
      </c>
      <c r="E218" s="36" t="s">
        <v>1095</v>
      </c>
      <c r="F218" s="36"/>
      <c r="G218" s="36"/>
      <c r="H218" s="33" t="s">
        <v>778</v>
      </c>
      <c r="I218" s="107">
        <v>6225</v>
      </c>
      <c r="J218" s="107">
        <v>3</v>
      </c>
      <c r="K218" s="39">
        <v>3.2</v>
      </c>
      <c r="L218" s="118" t="s">
        <v>797</v>
      </c>
      <c r="M218" s="147" t="s">
        <v>366</v>
      </c>
      <c r="N218" s="42" t="s">
        <v>63</v>
      </c>
      <c r="O218" s="148" t="s">
        <v>228</v>
      </c>
      <c r="P218" s="46" t="s">
        <v>212</v>
      </c>
      <c r="Q218" s="46" t="s">
        <v>1096</v>
      </c>
      <c r="R218" s="33" t="s">
        <v>1097</v>
      </c>
      <c r="S218" s="45">
        <f t="shared" si="47"/>
        <v>3835129.97</v>
      </c>
      <c r="T218" s="45">
        <f>4000000-164870.03</f>
        <v>3835129.97</v>
      </c>
      <c r="U218" s="45">
        <v>0</v>
      </c>
      <c r="V218" s="109" t="s">
        <v>789</v>
      </c>
      <c r="W218" s="63">
        <v>41936</v>
      </c>
      <c r="X218" s="48"/>
      <c r="Y218" s="109" t="s">
        <v>234</v>
      </c>
      <c r="Z218" s="45"/>
      <c r="AA218" s="45"/>
      <c r="AB218" s="45">
        <f t="shared" ref="AB218:AB276" si="53">Z218-AA218</f>
        <v>0</v>
      </c>
      <c r="AC218" s="48"/>
      <c r="AD218" s="63"/>
      <c r="AE218" s="51">
        <f t="shared" si="48"/>
        <v>0</v>
      </c>
      <c r="AF218" s="52">
        <f t="shared" si="49"/>
        <v>0</v>
      </c>
      <c r="AG218" s="52">
        <v>3835129.97</v>
      </c>
      <c r="AH218" s="52">
        <f>1917564.99+1725746.38+191818.6</f>
        <v>3835129.97</v>
      </c>
      <c r="AI218" s="52">
        <f t="shared" si="45"/>
        <v>0</v>
      </c>
      <c r="AJ218" s="124">
        <v>0</v>
      </c>
      <c r="AK218" s="45">
        <v>0</v>
      </c>
      <c r="AL218" s="52">
        <f t="shared" ref="AL218:AL276" si="54">+AJ218-AK218</f>
        <v>0</v>
      </c>
      <c r="AM218" s="52">
        <f t="shared" ref="AM218:AM230" si="55">SUM(AG218+Z218)+AJ218</f>
        <v>3835129.97</v>
      </c>
      <c r="AN218" s="51">
        <f t="shared" si="50"/>
        <v>3835129.97</v>
      </c>
      <c r="AO218" s="51">
        <f t="shared" ref="AO218:AO276" si="56">+AM218-AN218</f>
        <v>0</v>
      </c>
      <c r="AP218" s="125" t="s">
        <v>71</v>
      </c>
      <c r="AQ218" s="52">
        <v>1653073.27</v>
      </c>
      <c r="AR218" s="51">
        <f>1487712.41+165360.86</f>
        <v>1653073.27</v>
      </c>
      <c r="AS218" s="51">
        <f t="shared" si="52"/>
        <v>0</v>
      </c>
      <c r="AT218" s="126">
        <f t="shared" si="46"/>
        <v>0</v>
      </c>
      <c r="AU218" s="48"/>
      <c r="AV218" s="46" t="s">
        <v>783</v>
      </c>
    </row>
    <row r="219" spans="1:54" ht="24.75" hidden="1" x14ac:dyDescent="0.2">
      <c r="A219" s="32">
        <v>636</v>
      </c>
      <c r="B219" s="105" t="s">
        <v>1098</v>
      </c>
      <c r="C219" s="106"/>
      <c r="D219" s="107">
        <v>570</v>
      </c>
      <c r="E219" s="36" t="s">
        <v>1099</v>
      </c>
      <c r="F219" s="37" t="s">
        <v>59</v>
      </c>
      <c r="G219" s="36"/>
      <c r="H219" s="33" t="s">
        <v>655</v>
      </c>
      <c r="I219" s="107">
        <v>6223</v>
      </c>
      <c r="J219" s="107"/>
      <c r="K219" s="39"/>
      <c r="L219" s="118" t="s">
        <v>572</v>
      </c>
      <c r="M219" s="147" t="s">
        <v>117</v>
      </c>
      <c r="N219" s="42" t="s">
        <v>76</v>
      </c>
      <c r="O219" s="148" t="s">
        <v>118</v>
      </c>
      <c r="P219" s="46" t="s">
        <v>167</v>
      </c>
      <c r="Q219" s="46" t="s">
        <v>774</v>
      </c>
      <c r="R219" s="33" t="s">
        <v>1100</v>
      </c>
      <c r="S219" s="45">
        <f t="shared" si="47"/>
        <v>6453286.0300000003</v>
      </c>
      <c r="T219" s="45">
        <f>6469630.9-16344.87</f>
        <v>6453286.0300000003</v>
      </c>
      <c r="U219" s="45">
        <v>0</v>
      </c>
      <c r="V219" s="67" t="s">
        <v>1101</v>
      </c>
      <c r="W219" s="47" t="s">
        <v>1102</v>
      </c>
      <c r="X219" s="48"/>
      <c r="Y219" s="109" t="s">
        <v>234</v>
      </c>
      <c r="Z219" s="45"/>
      <c r="AA219" s="45"/>
      <c r="AB219" s="45">
        <f t="shared" si="53"/>
        <v>0</v>
      </c>
      <c r="AC219" s="48"/>
      <c r="AD219" s="63"/>
      <c r="AE219" s="51">
        <f t="shared" si="48"/>
        <v>0</v>
      </c>
      <c r="AF219" s="52">
        <f t="shared" si="49"/>
        <v>0</v>
      </c>
      <c r="AG219" s="52">
        <v>6453286.0300000003</v>
      </c>
      <c r="AH219" s="52">
        <f>3226643.02+281499.02+388181.26+1615229.95</f>
        <v>5511553.25</v>
      </c>
      <c r="AI219" s="52">
        <f t="shared" si="45"/>
        <v>941732.78000000026</v>
      </c>
      <c r="AJ219" s="124">
        <v>0</v>
      </c>
      <c r="AK219" s="45">
        <v>0</v>
      </c>
      <c r="AL219" s="52">
        <f t="shared" si="54"/>
        <v>0</v>
      </c>
      <c r="AM219" s="52">
        <f t="shared" si="55"/>
        <v>6453286.0300000003</v>
      </c>
      <c r="AN219" s="51">
        <f t="shared" si="50"/>
        <v>5511553.25</v>
      </c>
      <c r="AO219" s="51">
        <f t="shared" si="56"/>
        <v>941732.78000000026</v>
      </c>
      <c r="AP219" s="125" t="s">
        <v>71</v>
      </c>
      <c r="AQ219" s="52">
        <v>2781588.81</v>
      </c>
      <c r="AR219" s="51">
        <f>242671.58+334639.03+1392439.61</f>
        <v>1969750.2200000002</v>
      </c>
      <c r="AS219" s="51">
        <f t="shared" si="52"/>
        <v>811838.58999999985</v>
      </c>
      <c r="AT219" s="51">
        <f t="shared" si="46"/>
        <v>941732.78000000026</v>
      </c>
      <c r="AU219" s="48"/>
      <c r="AV219" s="46"/>
    </row>
    <row r="220" spans="1:54" ht="16.5" hidden="1" x14ac:dyDescent="0.2">
      <c r="A220" s="32">
        <v>636</v>
      </c>
      <c r="B220" s="105" t="s">
        <v>1103</v>
      </c>
      <c r="C220" s="106"/>
      <c r="D220" s="107"/>
      <c r="E220" s="36" t="s">
        <v>1104</v>
      </c>
      <c r="F220" s="36"/>
      <c r="G220" s="36" t="s">
        <v>379</v>
      </c>
      <c r="H220" s="105"/>
      <c r="I220" s="107">
        <v>6142</v>
      </c>
      <c r="J220" s="107"/>
      <c r="K220" s="39">
        <v>2</v>
      </c>
      <c r="L220" s="40" t="s">
        <v>61</v>
      </c>
      <c r="M220" s="147" t="s">
        <v>108</v>
      </c>
      <c r="N220" s="42" t="s">
        <v>63</v>
      </c>
      <c r="O220" s="148" t="s">
        <v>1105</v>
      </c>
      <c r="P220" s="46" t="s">
        <v>804</v>
      </c>
      <c r="Q220" s="46" t="s">
        <v>1106</v>
      </c>
      <c r="R220" s="33" t="s">
        <v>168</v>
      </c>
      <c r="S220" s="45">
        <f t="shared" si="47"/>
        <v>0</v>
      </c>
      <c r="T220" s="45">
        <f>1613119.2-1613119.2</f>
        <v>0</v>
      </c>
      <c r="U220" s="45">
        <f>41718.6-41718.6</f>
        <v>0</v>
      </c>
      <c r="V220" s="109" t="s">
        <v>1056</v>
      </c>
      <c r="W220" s="63">
        <v>42124</v>
      </c>
      <c r="X220" s="48"/>
      <c r="Y220" s="109" t="s">
        <v>282</v>
      </c>
      <c r="Z220" s="45"/>
      <c r="AA220" s="45"/>
      <c r="AB220" s="45">
        <f t="shared" si="53"/>
        <v>0</v>
      </c>
      <c r="AC220" s="48"/>
      <c r="AD220" s="63"/>
      <c r="AE220" s="51">
        <f t="shared" si="48"/>
        <v>0</v>
      </c>
      <c r="AF220" s="52">
        <f t="shared" si="49"/>
        <v>0</v>
      </c>
      <c r="AG220" s="52"/>
      <c r="AH220" s="52"/>
      <c r="AI220" s="52">
        <f t="shared" si="45"/>
        <v>0</v>
      </c>
      <c r="AJ220" s="124">
        <v>0</v>
      </c>
      <c r="AK220" s="45">
        <v>0</v>
      </c>
      <c r="AL220" s="52">
        <f t="shared" si="54"/>
        <v>0</v>
      </c>
      <c r="AM220" s="52">
        <f t="shared" si="55"/>
        <v>0</v>
      </c>
      <c r="AN220" s="51">
        <f t="shared" si="50"/>
        <v>0</v>
      </c>
      <c r="AO220" s="51">
        <f t="shared" si="56"/>
        <v>0</v>
      </c>
      <c r="AP220" s="125"/>
      <c r="AQ220" s="52"/>
      <c r="AR220" s="51"/>
      <c r="AS220" s="51">
        <f t="shared" si="52"/>
        <v>0</v>
      </c>
      <c r="AT220" s="51">
        <f t="shared" si="46"/>
        <v>0</v>
      </c>
      <c r="AU220" s="48"/>
      <c r="AV220" s="46"/>
    </row>
    <row r="221" spans="1:54" ht="24.75" hidden="1" x14ac:dyDescent="0.2">
      <c r="A221" s="151">
        <v>639</v>
      </c>
      <c r="B221" s="105" t="s">
        <v>185</v>
      </c>
      <c r="C221" s="106"/>
      <c r="D221" s="107"/>
      <c r="E221" s="36" t="s">
        <v>1107</v>
      </c>
      <c r="F221" s="37" t="s">
        <v>59</v>
      </c>
      <c r="G221" s="36"/>
      <c r="H221" s="33" t="s">
        <v>187</v>
      </c>
      <c r="I221" s="107">
        <v>6222</v>
      </c>
      <c r="J221" s="107"/>
      <c r="K221" s="39"/>
      <c r="L221" s="118" t="s">
        <v>1108</v>
      </c>
      <c r="M221" s="147" t="s">
        <v>75</v>
      </c>
      <c r="N221" s="42" t="s">
        <v>63</v>
      </c>
      <c r="O221" s="148" t="s">
        <v>237</v>
      </c>
      <c r="P221" s="48" t="s">
        <v>334</v>
      </c>
      <c r="Q221" s="46" t="s">
        <v>626</v>
      </c>
      <c r="R221" s="33" t="s">
        <v>1109</v>
      </c>
      <c r="S221" s="45">
        <f t="shared" si="47"/>
        <v>299400.09000000003</v>
      </c>
      <c r="T221" s="45">
        <f>300000-599.91</f>
        <v>299400.09000000003</v>
      </c>
      <c r="U221" s="45">
        <v>0</v>
      </c>
      <c r="V221" s="67" t="s">
        <v>1110</v>
      </c>
      <c r="W221" s="47" t="s">
        <v>1111</v>
      </c>
      <c r="X221" s="48"/>
      <c r="Y221" s="109" t="s">
        <v>234</v>
      </c>
      <c r="Z221" s="45"/>
      <c r="AA221" s="45"/>
      <c r="AB221" s="45">
        <f t="shared" si="53"/>
        <v>0</v>
      </c>
      <c r="AC221" s="48"/>
      <c r="AD221" s="63"/>
      <c r="AE221" s="51">
        <f t="shared" si="48"/>
        <v>0</v>
      </c>
      <c r="AF221" s="52">
        <f t="shared" si="49"/>
        <v>0</v>
      </c>
      <c r="AG221" s="52">
        <v>299400.09000000003</v>
      </c>
      <c r="AH221" s="52">
        <f>89820.03+187497.24+22082.82</f>
        <v>299400.09000000003</v>
      </c>
      <c r="AI221" s="52">
        <f t="shared" si="45"/>
        <v>0</v>
      </c>
      <c r="AJ221" s="124">
        <v>0</v>
      </c>
      <c r="AK221" s="45">
        <v>0</v>
      </c>
      <c r="AL221" s="52">
        <f t="shared" si="54"/>
        <v>0</v>
      </c>
      <c r="AM221" s="52">
        <f t="shared" si="55"/>
        <v>299400.09000000003</v>
      </c>
      <c r="AN221" s="51">
        <f t="shared" si="50"/>
        <v>299400.09000000003</v>
      </c>
      <c r="AO221" s="51">
        <f t="shared" si="56"/>
        <v>0</v>
      </c>
      <c r="AP221" s="125" t="s">
        <v>205</v>
      </c>
      <c r="AQ221" s="52">
        <v>77431.06</v>
      </c>
      <c r="AR221" s="51">
        <f>69272.38+8158.68</f>
        <v>77431.06</v>
      </c>
      <c r="AS221" s="51">
        <f t="shared" si="52"/>
        <v>0</v>
      </c>
      <c r="AT221" s="126">
        <f t="shared" si="46"/>
        <v>0</v>
      </c>
      <c r="AU221" s="48"/>
      <c r="AV221" s="46"/>
    </row>
    <row r="222" spans="1:54" ht="33" hidden="1" x14ac:dyDescent="0.2">
      <c r="A222" s="151">
        <v>639</v>
      </c>
      <c r="B222" s="105" t="s">
        <v>1112</v>
      </c>
      <c r="C222" s="106"/>
      <c r="D222" s="107">
        <v>607</v>
      </c>
      <c r="E222" s="36" t="s">
        <v>1113</v>
      </c>
      <c r="F222" s="37" t="s">
        <v>59</v>
      </c>
      <c r="G222" s="36" t="s">
        <v>1114</v>
      </c>
      <c r="H222" s="33" t="s">
        <v>576</v>
      </c>
      <c r="I222" s="107">
        <v>6222</v>
      </c>
      <c r="J222" s="107"/>
      <c r="K222" s="39" t="s">
        <v>577</v>
      </c>
      <c r="L222" s="40" t="s">
        <v>578</v>
      </c>
      <c r="M222" s="147" t="s">
        <v>75</v>
      </c>
      <c r="N222" s="42" t="s">
        <v>76</v>
      </c>
      <c r="O222" s="41" t="s">
        <v>77</v>
      </c>
      <c r="P222" s="46" t="s">
        <v>65</v>
      </c>
      <c r="Q222" s="46" t="s">
        <v>1115</v>
      </c>
      <c r="R222" s="33" t="s">
        <v>1116</v>
      </c>
      <c r="S222" s="45">
        <f t="shared" si="47"/>
        <v>678127.17999999993</v>
      </c>
      <c r="T222" s="45">
        <f>695635.09-17507.91</f>
        <v>678127.17999999993</v>
      </c>
      <c r="U222" s="45">
        <v>0</v>
      </c>
      <c r="V222" s="109" t="s">
        <v>1117</v>
      </c>
      <c r="W222" s="63">
        <v>41934</v>
      </c>
      <c r="X222" s="48"/>
      <c r="Y222" s="109" t="s">
        <v>234</v>
      </c>
      <c r="Z222" s="45"/>
      <c r="AA222" s="45"/>
      <c r="AB222" s="45">
        <f t="shared" si="53"/>
        <v>0</v>
      </c>
      <c r="AC222" s="48"/>
      <c r="AD222" s="63"/>
      <c r="AE222" s="51">
        <f t="shared" si="48"/>
        <v>0</v>
      </c>
      <c r="AF222" s="52">
        <f t="shared" si="49"/>
        <v>-1.1641532182693481E-10</v>
      </c>
      <c r="AG222" s="52">
        <v>678127.18</v>
      </c>
      <c r="AH222" s="52">
        <f>203438.16+417377.21+57311.81</f>
        <v>678127.17999999993</v>
      </c>
      <c r="AI222" s="52">
        <f t="shared" si="45"/>
        <v>1.1641532182693481E-10</v>
      </c>
      <c r="AJ222" s="124">
        <v>0</v>
      </c>
      <c r="AK222" s="45">
        <v>0</v>
      </c>
      <c r="AL222" s="52">
        <f t="shared" si="54"/>
        <v>0</v>
      </c>
      <c r="AM222" s="52">
        <f t="shared" si="55"/>
        <v>678127.18</v>
      </c>
      <c r="AN222" s="51">
        <f t="shared" si="50"/>
        <v>678127.17999999993</v>
      </c>
      <c r="AO222" s="51">
        <f t="shared" si="56"/>
        <v>0</v>
      </c>
      <c r="AP222" s="125" t="s">
        <v>205</v>
      </c>
      <c r="AQ222" s="52">
        <v>175377.72</v>
      </c>
      <c r="AR222" s="51">
        <f>154203.4+21174.32</f>
        <v>175377.72</v>
      </c>
      <c r="AS222" s="51">
        <f t="shared" si="52"/>
        <v>0</v>
      </c>
      <c r="AT222" s="126">
        <f t="shared" si="46"/>
        <v>0</v>
      </c>
      <c r="AU222" s="48"/>
      <c r="AV222" s="46"/>
    </row>
    <row r="223" spans="1:54" ht="26.25" hidden="1" customHeight="1" x14ac:dyDescent="0.2">
      <c r="A223" s="32">
        <v>636</v>
      </c>
      <c r="B223" s="94" t="s">
        <v>1118</v>
      </c>
      <c r="C223" s="120" t="s">
        <v>1119</v>
      </c>
      <c r="D223" s="107">
        <v>475</v>
      </c>
      <c r="E223" s="256" t="s">
        <v>1120</v>
      </c>
      <c r="F223" s="82"/>
      <c r="G223" s="82"/>
      <c r="H223" s="67" t="s">
        <v>1121</v>
      </c>
      <c r="I223" s="129">
        <v>6211</v>
      </c>
      <c r="J223" s="107">
        <v>2</v>
      </c>
      <c r="K223" s="39">
        <v>6</v>
      </c>
      <c r="L223" s="152" t="s">
        <v>1122</v>
      </c>
      <c r="M223" s="153" t="s">
        <v>1123</v>
      </c>
      <c r="N223" s="42" t="s">
        <v>76</v>
      </c>
      <c r="O223" s="117" t="s">
        <v>88</v>
      </c>
      <c r="P223" s="67" t="s">
        <v>299</v>
      </c>
      <c r="Q223" s="67" t="s">
        <v>979</v>
      </c>
      <c r="R223" s="253" t="s">
        <v>1124</v>
      </c>
      <c r="S223" s="52">
        <f t="shared" si="47"/>
        <v>367752.83</v>
      </c>
      <c r="T223" s="52">
        <f>371000-3247.17</f>
        <v>367752.83</v>
      </c>
      <c r="U223" s="52">
        <v>0</v>
      </c>
      <c r="V223" s="109" t="s">
        <v>1125</v>
      </c>
      <c r="W223" s="154">
        <v>41929</v>
      </c>
      <c r="X223" s="109"/>
      <c r="Y223" s="109" t="s">
        <v>234</v>
      </c>
      <c r="Z223" s="155"/>
      <c r="AA223" s="155"/>
      <c r="AB223" s="155">
        <f t="shared" si="53"/>
        <v>0</v>
      </c>
      <c r="AC223" s="109"/>
      <c r="AD223" s="154"/>
      <c r="AE223" s="51">
        <f t="shared" si="48"/>
        <v>0</v>
      </c>
      <c r="AF223" s="52">
        <f t="shared" si="49"/>
        <v>0</v>
      </c>
      <c r="AG223" s="52">
        <v>367752.83</v>
      </c>
      <c r="AH223" s="52">
        <f>110325.85+257426.98</f>
        <v>367752.83</v>
      </c>
      <c r="AI223" s="52">
        <f t="shared" si="45"/>
        <v>0</v>
      </c>
      <c r="AJ223" s="156">
        <v>0</v>
      </c>
      <c r="AK223" s="155">
        <v>0</v>
      </c>
      <c r="AL223" s="52">
        <f t="shared" si="54"/>
        <v>0</v>
      </c>
      <c r="AM223" s="52">
        <f t="shared" si="55"/>
        <v>367752.83</v>
      </c>
      <c r="AN223" s="51">
        <f t="shared" si="50"/>
        <v>367752.83</v>
      </c>
      <c r="AO223" s="51">
        <f t="shared" si="56"/>
        <v>0</v>
      </c>
      <c r="AP223" s="125" t="s">
        <v>333</v>
      </c>
      <c r="AQ223" s="52">
        <v>95108.49</v>
      </c>
      <c r="AR223" s="51">
        <v>95108.49</v>
      </c>
      <c r="AS223" s="51">
        <f t="shared" si="52"/>
        <v>0</v>
      </c>
      <c r="AT223" s="126">
        <f t="shared" si="46"/>
        <v>0</v>
      </c>
      <c r="AU223" s="109"/>
      <c r="AV223" s="67"/>
      <c r="AW223" s="4"/>
      <c r="AX223" s="4"/>
      <c r="AY223" s="4"/>
      <c r="AZ223" s="4"/>
      <c r="BA223" s="4"/>
      <c r="BB223" s="4"/>
    </row>
    <row r="224" spans="1:54" ht="24.75" hidden="1" x14ac:dyDescent="0.2">
      <c r="A224" s="32">
        <v>636</v>
      </c>
      <c r="B224" s="94" t="s">
        <v>1118</v>
      </c>
      <c r="C224" s="120" t="s">
        <v>1119</v>
      </c>
      <c r="D224" s="107">
        <v>476</v>
      </c>
      <c r="E224" s="258"/>
      <c r="F224" s="36"/>
      <c r="G224" s="36"/>
      <c r="H224" s="67" t="s">
        <v>60</v>
      </c>
      <c r="I224" s="129">
        <v>6211</v>
      </c>
      <c r="J224" s="107">
        <v>2</v>
      </c>
      <c r="K224" s="39">
        <v>2</v>
      </c>
      <c r="L224" s="157" t="s">
        <v>61</v>
      </c>
      <c r="M224" s="153" t="s">
        <v>1123</v>
      </c>
      <c r="N224" s="42" t="s">
        <v>76</v>
      </c>
      <c r="O224" s="117" t="s">
        <v>88</v>
      </c>
      <c r="P224" s="67" t="s">
        <v>299</v>
      </c>
      <c r="Q224" s="67" t="s">
        <v>979</v>
      </c>
      <c r="R224" s="254"/>
      <c r="S224" s="52">
        <f t="shared" si="47"/>
        <v>371000</v>
      </c>
      <c r="T224" s="52">
        <v>371000</v>
      </c>
      <c r="U224" s="52">
        <v>0</v>
      </c>
      <c r="V224" s="109" t="s">
        <v>1125</v>
      </c>
      <c r="W224" s="154">
        <v>41929</v>
      </c>
      <c r="X224" s="109"/>
      <c r="Y224" s="109" t="s">
        <v>234</v>
      </c>
      <c r="Z224" s="155"/>
      <c r="AA224" s="155"/>
      <c r="AB224" s="155">
        <f t="shared" si="53"/>
        <v>0</v>
      </c>
      <c r="AC224" s="109"/>
      <c r="AD224" s="154"/>
      <c r="AE224" s="51">
        <f t="shared" si="48"/>
        <v>0</v>
      </c>
      <c r="AF224" s="52">
        <f t="shared" si="49"/>
        <v>3247.1699999999837</v>
      </c>
      <c r="AG224" s="52">
        <v>367752.83</v>
      </c>
      <c r="AH224" s="52">
        <f>110325.85+257426.98</f>
        <v>367752.83</v>
      </c>
      <c r="AI224" s="52">
        <f t="shared" si="45"/>
        <v>0</v>
      </c>
      <c r="AJ224" s="156">
        <v>0</v>
      </c>
      <c r="AK224" s="155">
        <v>0</v>
      </c>
      <c r="AL224" s="52">
        <f t="shared" si="54"/>
        <v>0</v>
      </c>
      <c r="AM224" s="52">
        <f t="shared" si="55"/>
        <v>367752.83</v>
      </c>
      <c r="AN224" s="51">
        <f t="shared" si="50"/>
        <v>367752.83</v>
      </c>
      <c r="AO224" s="51">
        <f t="shared" si="56"/>
        <v>0</v>
      </c>
      <c r="AP224" s="125" t="s">
        <v>333</v>
      </c>
      <c r="AQ224" s="52">
        <v>95108.49</v>
      </c>
      <c r="AR224" s="51">
        <v>95108.49</v>
      </c>
      <c r="AS224" s="51">
        <f t="shared" si="52"/>
        <v>0</v>
      </c>
      <c r="AT224" s="126">
        <f t="shared" si="46"/>
        <v>3247.1699999999837</v>
      </c>
      <c r="AU224" s="109"/>
      <c r="AV224" s="67"/>
      <c r="AW224" s="4"/>
      <c r="AX224" s="4"/>
      <c r="AY224" s="4"/>
      <c r="AZ224" s="4"/>
      <c r="BA224" s="4"/>
      <c r="BB224" s="4"/>
    </row>
    <row r="225" spans="1:54" ht="33" hidden="1" x14ac:dyDescent="0.2">
      <c r="A225" s="32">
        <v>636</v>
      </c>
      <c r="B225" s="94" t="s">
        <v>1126</v>
      </c>
      <c r="C225" s="119" t="s">
        <v>1127</v>
      </c>
      <c r="D225" s="107">
        <v>471</v>
      </c>
      <c r="E225" s="256" t="s">
        <v>1128</v>
      </c>
      <c r="F225" s="82" t="s">
        <v>27</v>
      </c>
      <c r="G225" s="82"/>
      <c r="H225" s="67" t="s">
        <v>1121</v>
      </c>
      <c r="I225" s="158">
        <v>6211</v>
      </c>
      <c r="J225" s="107">
        <v>2</v>
      </c>
      <c r="K225" s="39">
        <v>6</v>
      </c>
      <c r="L225" s="152" t="s">
        <v>1122</v>
      </c>
      <c r="M225" s="153" t="s">
        <v>1123</v>
      </c>
      <c r="N225" s="42" t="s">
        <v>76</v>
      </c>
      <c r="O225" s="117" t="s">
        <v>88</v>
      </c>
      <c r="P225" s="67" t="s">
        <v>104</v>
      </c>
      <c r="Q225" s="67" t="s">
        <v>979</v>
      </c>
      <c r="R225" s="254"/>
      <c r="S225" s="52">
        <f t="shared" si="47"/>
        <v>367752.83</v>
      </c>
      <c r="T225" s="52">
        <f>371000-3247.17</f>
        <v>367752.83</v>
      </c>
      <c r="U225" s="52">
        <v>0</v>
      </c>
      <c r="V225" s="109" t="s">
        <v>1125</v>
      </c>
      <c r="W225" s="154">
        <v>41929</v>
      </c>
      <c r="X225" s="109"/>
      <c r="Y225" s="109" t="s">
        <v>234</v>
      </c>
      <c r="Z225" s="155"/>
      <c r="AA225" s="155"/>
      <c r="AB225" s="155">
        <f t="shared" si="53"/>
        <v>0</v>
      </c>
      <c r="AC225" s="109"/>
      <c r="AD225" s="154"/>
      <c r="AE225" s="51">
        <f t="shared" si="48"/>
        <v>0</v>
      </c>
      <c r="AF225" s="52">
        <f t="shared" si="49"/>
        <v>0</v>
      </c>
      <c r="AG225" s="52">
        <v>367752.83</v>
      </c>
      <c r="AH225" s="52">
        <f>110325.85+257426.98</f>
        <v>367752.83</v>
      </c>
      <c r="AI225" s="52">
        <f t="shared" si="45"/>
        <v>0</v>
      </c>
      <c r="AJ225" s="156">
        <v>0</v>
      </c>
      <c r="AK225" s="155">
        <v>0</v>
      </c>
      <c r="AL225" s="52">
        <f t="shared" si="54"/>
        <v>0</v>
      </c>
      <c r="AM225" s="52">
        <f t="shared" si="55"/>
        <v>367752.83</v>
      </c>
      <c r="AN225" s="51">
        <f t="shared" si="50"/>
        <v>367752.83</v>
      </c>
      <c r="AO225" s="51">
        <f t="shared" si="56"/>
        <v>0</v>
      </c>
      <c r="AP225" s="125" t="s">
        <v>333</v>
      </c>
      <c r="AQ225" s="52">
        <v>95108.49</v>
      </c>
      <c r="AR225" s="51">
        <v>95108.49</v>
      </c>
      <c r="AS225" s="51">
        <f t="shared" si="52"/>
        <v>0</v>
      </c>
      <c r="AT225" s="126">
        <f t="shared" si="46"/>
        <v>0</v>
      </c>
      <c r="AU225" s="109"/>
      <c r="AV225" s="67"/>
      <c r="AW225" s="4"/>
      <c r="AX225" s="4"/>
      <c r="AY225" s="4"/>
      <c r="AZ225" s="4"/>
      <c r="BA225" s="4"/>
      <c r="BB225" s="4"/>
    </row>
    <row r="226" spans="1:54" ht="24.75" hidden="1" x14ac:dyDescent="0.2">
      <c r="A226" s="32">
        <v>636</v>
      </c>
      <c r="B226" s="94" t="s">
        <v>1126</v>
      </c>
      <c r="C226" s="119" t="s">
        <v>1127</v>
      </c>
      <c r="D226" s="107">
        <v>472</v>
      </c>
      <c r="E226" s="258"/>
      <c r="F226" s="36" t="s">
        <v>27</v>
      </c>
      <c r="G226" s="36"/>
      <c r="H226" s="67" t="s">
        <v>60</v>
      </c>
      <c r="I226" s="158">
        <v>6211</v>
      </c>
      <c r="J226" s="107">
        <v>2</v>
      </c>
      <c r="K226" s="39">
        <v>2</v>
      </c>
      <c r="L226" s="157" t="s">
        <v>61</v>
      </c>
      <c r="M226" s="153" t="s">
        <v>1123</v>
      </c>
      <c r="N226" s="42" t="s">
        <v>76</v>
      </c>
      <c r="O226" s="117" t="s">
        <v>88</v>
      </c>
      <c r="P226" s="67" t="s">
        <v>104</v>
      </c>
      <c r="Q226" s="67" t="s">
        <v>979</v>
      </c>
      <c r="R226" s="254"/>
      <c r="S226" s="52">
        <f t="shared" si="47"/>
        <v>371000</v>
      </c>
      <c r="T226" s="52">
        <v>371000</v>
      </c>
      <c r="U226" s="52">
        <v>0</v>
      </c>
      <c r="V226" s="67" t="s">
        <v>1129</v>
      </c>
      <c r="W226" s="143" t="s">
        <v>1130</v>
      </c>
      <c r="X226" s="109"/>
      <c r="Y226" s="109" t="s">
        <v>234</v>
      </c>
      <c r="Z226" s="155"/>
      <c r="AA226" s="155"/>
      <c r="AB226" s="155">
        <f t="shared" si="53"/>
        <v>0</v>
      </c>
      <c r="AC226" s="109"/>
      <c r="AD226" s="154"/>
      <c r="AE226" s="51">
        <f t="shared" si="48"/>
        <v>0</v>
      </c>
      <c r="AF226" s="52">
        <f t="shared" si="49"/>
        <v>3247.1699999999837</v>
      </c>
      <c r="AG226" s="52">
        <v>367752.83</v>
      </c>
      <c r="AH226" s="52">
        <f>110325.85+257426.98</f>
        <v>367752.83</v>
      </c>
      <c r="AI226" s="52">
        <f t="shared" si="45"/>
        <v>0</v>
      </c>
      <c r="AJ226" s="156">
        <v>0</v>
      </c>
      <c r="AK226" s="155">
        <v>0</v>
      </c>
      <c r="AL226" s="52">
        <f t="shared" si="54"/>
        <v>0</v>
      </c>
      <c r="AM226" s="52">
        <f t="shared" si="55"/>
        <v>367752.83</v>
      </c>
      <c r="AN226" s="51">
        <f t="shared" si="50"/>
        <v>367752.83</v>
      </c>
      <c r="AO226" s="51">
        <f t="shared" si="56"/>
        <v>0</v>
      </c>
      <c r="AP226" s="125" t="s">
        <v>333</v>
      </c>
      <c r="AQ226" s="52">
        <v>95108.49</v>
      </c>
      <c r="AR226" s="51">
        <v>95108.49</v>
      </c>
      <c r="AS226" s="51">
        <f t="shared" si="52"/>
        <v>0</v>
      </c>
      <c r="AT226" s="126">
        <f t="shared" si="46"/>
        <v>3247.1699999999837</v>
      </c>
      <c r="AU226" s="109"/>
      <c r="AV226" s="67"/>
      <c r="AW226" s="4"/>
      <c r="AX226" s="4"/>
      <c r="AY226" s="4"/>
      <c r="AZ226" s="4"/>
      <c r="BA226" s="4"/>
      <c r="BB226" s="4"/>
    </row>
    <row r="227" spans="1:54" ht="33" hidden="1" customHeight="1" x14ac:dyDescent="0.2">
      <c r="A227" s="32">
        <v>636</v>
      </c>
      <c r="B227" s="94" t="s">
        <v>1131</v>
      </c>
      <c r="C227" s="119" t="s">
        <v>1132</v>
      </c>
      <c r="D227" s="107">
        <v>469</v>
      </c>
      <c r="E227" s="256" t="s">
        <v>1133</v>
      </c>
      <c r="F227" s="82"/>
      <c r="G227" s="82"/>
      <c r="H227" s="67" t="s">
        <v>1121</v>
      </c>
      <c r="I227" s="158">
        <v>6211</v>
      </c>
      <c r="J227" s="107">
        <v>2</v>
      </c>
      <c r="K227" s="39">
        <v>6</v>
      </c>
      <c r="L227" s="152" t="s">
        <v>1122</v>
      </c>
      <c r="M227" s="153" t="s">
        <v>1123</v>
      </c>
      <c r="N227" s="42" t="s">
        <v>76</v>
      </c>
      <c r="O227" s="117" t="s">
        <v>88</v>
      </c>
      <c r="P227" s="67" t="s">
        <v>443</v>
      </c>
      <c r="Q227" s="67" t="s">
        <v>979</v>
      </c>
      <c r="R227" s="254"/>
      <c r="S227" s="52">
        <f t="shared" si="47"/>
        <v>183753.21</v>
      </c>
      <c r="T227" s="52">
        <f>185500-1746.79</f>
        <v>183753.21</v>
      </c>
      <c r="U227" s="52">
        <v>0</v>
      </c>
      <c r="V227" s="109" t="s">
        <v>1125</v>
      </c>
      <c r="W227" s="154" t="s">
        <v>1134</v>
      </c>
      <c r="X227" s="109"/>
      <c r="Y227" s="109" t="s">
        <v>234</v>
      </c>
      <c r="Z227" s="155"/>
      <c r="AA227" s="155"/>
      <c r="AB227" s="155">
        <f t="shared" si="53"/>
        <v>0</v>
      </c>
      <c r="AC227" s="109"/>
      <c r="AD227" s="154"/>
      <c r="AE227" s="51">
        <f t="shared" si="48"/>
        <v>0</v>
      </c>
      <c r="AF227" s="52">
        <f t="shared" si="49"/>
        <v>0</v>
      </c>
      <c r="AG227" s="52">
        <v>183753.21</v>
      </c>
      <c r="AH227" s="52">
        <f>55125.96+128627.25</f>
        <v>183753.21</v>
      </c>
      <c r="AI227" s="52">
        <f t="shared" si="45"/>
        <v>0</v>
      </c>
      <c r="AJ227" s="156">
        <v>0</v>
      </c>
      <c r="AK227" s="155">
        <v>0</v>
      </c>
      <c r="AL227" s="52">
        <f t="shared" si="54"/>
        <v>0</v>
      </c>
      <c r="AM227" s="52">
        <f t="shared" si="55"/>
        <v>183753.21</v>
      </c>
      <c r="AN227" s="51">
        <f t="shared" si="50"/>
        <v>183753.21</v>
      </c>
      <c r="AO227" s="51">
        <f t="shared" si="56"/>
        <v>0</v>
      </c>
      <c r="AP227" s="125" t="s">
        <v>333</v>
      </c>
      <c r="AQ227" s="52">
        <v>47522.38</v>
      </c>
      <c r="AR227" s="51">
        <v>47522.38</v>
      </c>
      <c r="AS227" s="51">
        <f t="shared" si="52"/>
        <v>0</v>
      </c>
      <c r="AT227" s="126">
        <f t="shared" si="46"/>
        <v>0</v>
      </c>
      <c r="AU227" s="109"/>
      <c r="AV227" s="67"/>
      <c r="AW227" s="4"/>
      <c r="AX227" s="4"/>
      <c r="AY227" s="4"/>
      <c r="AZ227" s="4"/>
      <c r="BA227" s="4"/>
      <c r="BB227" s="4"/>
    </row>
    <row r="228" spans="1:54" ht="24.75" hidden="1" x14ac:dyDescent="0.2">
      <c r="A228" s="32">
        <v>636</v>
      </c>
      <c r="B228" s="94" t="s">
        <v>1131</v>
      </c>
      <c r="C228" s="119" t="s">
        <v>1132</v>
      </c>
      <c r="D228" s="107">
        <v>470</v>
      </c>
      <c r="E228" s="258"/>
      <c r="F228" s="36"/>
      <c r="G228" s="36"/>
      <c r="H228" s="67" t="s">
        <v>60</v>
      </c>
      <c r="I228" s="158">
        <v>6211</v>
      </c>
      <c r="J228" s="107">
        <v>2</v>
      </c>
      <c r="K228" s="39">
        <v>2</v>
      </c>
      <c r="L228" s="157" t="s">
        <v>61</v>
      </c>
      <c r="M228" s="153" t="s">
        <v>1123</v>
      </c>
      <c r="N228" s="42" t="s">
        <v>76</v>
      </c>
      <c r="O228" s="117" t="s">
        <v>88</v>
      </c>
      <c r="P228" s="67" t="s">
        <v>443</v>
      </c>
      <c r="Q228" s="67" t="s">
        <v>979</v>
      </c>
      <c r="R228" s="254"/>
      <c r="S228" s="52">
        <f t="shared" si="47"/>
        <v>185500</v>
      </c>
      <c r="T228" s="52">
        <v>185500</v>
      </c>
      <c r="U228" s="52">
        <v>0</v>
      </c>
      <c r="V228" s="67" t="s">
        <v>1129</v>
      </c>
      <c r="W228" s="143" t="s">
        <v>1130</v>
      </c>
      <c r="X228" s="109"/>
      <c r="Y228" s="109" t="s">
        <v>234</v>
      </c>
      <c r="Z228" s="155"/>
      <c r="AA228" s="155"/>
      <c r="AB228" s="155">
        <f t="shared" si="53"/>
        <v>0</v>
      </c>
      <c r="AC228" s="109"/>
      <c r="AD228" s="154"/>
      <c r="AE228" s="51">
        <f t="shared" si="48"/>
        <v>0</v>
      </c>
      <c r="AF228" s="52">
        <f t="shared" si="49"/>
        <v>1746.7900000000081</v>
      </c>
      <c r="AG228" s="52">
        <v>183753.21</v>
      </c>
      <c r="AH228" s="52">
        <f>55125.96+128627.25</f>
        <v>183753.21</v>
      </c>
      <c r="AI228" s="52">
        <f t="shared" ref="AI228:AI239" si="57">SUM(AG228-AH228)</f>
        <v>0</v>
      </c>
      <c r="AJ228" s="156">
        <v>0</v>
      </c>
      <c r="AK228" s="155">
        <v>0</v>
      </c>
      <c r="AL228" s="52">
        <f t="shared" si="54"/>
        <v>0</v>
      </c>
      <c r="AM228" s="52">
        <f t="shared" si="55"/>
        <v>183753.21</v>
      </c>
      <c r="AN228" s="51">
        <f t="shared" si="50"/>
        <v>183753.21</v>
      </c>
      <c r="AO228" s="51">
        <f t="shared" si="56"/>
        <v>0</v>
      </c>
      <c r="AP228" s="125" t="s">
        <v>333</v>
      </c>
      <c r="AQ228" s="52">
        <v>47522.38</v>
      </c>
      <c r="AR228" s="51">
        <v>47522.38</v>
      </c>
      <c r="AS228" s="51">
        <f t="shared" si="52"/>
        <v>0</v>
      </c>
      <c r="AT228" s="126">
        <f t="shared" ref="AT228:AT239" si="58">SUM(S228-AN228)</f>
        <v>1746.7900000000081</v>
      </c>
      <c r="AU228" s="109"/>
      <c r="AV228" s="67"/>
      <c r="AW228" s="4"/>
      <c r="AX228" s="4"/>
      <c r="AY228" s="4"/>
      <c r="AZ228" s="4"/>
      <c r="BA228" s="4"/>
      <c r="BB228" s="4"/>
    </row>
    <row r="229" spans="1:54" ht="33" hidden="1" x14ac:dyDescent="0.2">
      <c r="A229" s="32">
        <v>636</v>
      </c>
      <c r="B229" s="94" t="s">
        <v>1135</v>
      </c>
      <c r="C229" s="107" t="s">
        <v>1136</v>
      </c>
      <c r="D229" s="107"/>
      <c r="E229" s="256" t="s">
        <v>1137</v>
      </c>
      <c r="F229" s="82"/>
      <c r="G229" s="82"/>
      <c r="H229" s="67" t="s">
        <v>1121</v>
      </c>
      <c r="I229" s="129">
        <v>6211</v>
      </c>
      <c r="J229" s="107">
        <v>2</v>
      </c>
      <c r="K229" s="39">
        <v>6</v>
      </c>
      <c r="L229" s="152" t="s">
        <v>1122</v>
      </c>
      <c r="M229" s="153" t="s">
        <v>1123</v>
      </c>
      <c r="N229" s="42" t="s">
        <v>76</v>
      </c>
      <c r="O229" s="117" t="s">
        <v>88</v>
      </c>
      <c r="P229" s="67" t="s">
        <v>331</v>
      </c>
      <c r="Q229" s="67" t="s">
        <v>1138</v>
      </c>
      <c r="R229" s="254"/>
      <c r="S229" s="52">
        <f t="shared" ref="S229:S288" si="59">T229+U229</f>
        <v>183753.21</v>
      </c>
      <c r="T229" s="52">
        <f>185500-1746.79</f>
        <v>183753.21</v>
      </c>
      <c r="U229" s="52">
        <v>0</v>
      </c>
      <c r="V229" s="109" t="s">
        <v>1125</v>
      </c>
      <c r="W229" s="154">
        <v>41929</v>
      </c>
      <c r="X229" s="109"/>
      <c r="Y229" s="109" t="s">
        <v>234</v>
      </c>
      <c r="Z229" s="155"/>
      <c r="AA229" s="155"/>
      <c r="AB229" s="155">
        <f t="shared" si="53"/>
        <v>0</v>
      </c>
      <c r="AC229" s="109"/>
      <c r="AD229" s="154"/>
      <c r="AE229" s="51">
        <f t="shared" ref="AE229:AE288" si="60">U229-Z229</f>
        <v>0</v>
      </c>
      <c r="AF229" s="52">
        <f t="shared" si="49"/>
        <v>0</v>
      </c>
      <c r="AG229" s="52">
        <v>183753.21</v>
      </c>
      <c r="AH229" s="52">
        <f>55125.96+128627.25</f>
        <v>183753.21</v>
      </c>
      <c r="AI229" s="52">
        <f t="shared" si="57"/>
        <v>0</v>
      </c>
      <c r="AJ229" s="156">
        <v>0</v>
      </c>
      <c r="AK229" s="155">
        <v>0</v>
      </c>
      <c r="AL229" s="52">
        <f t="shared" si="54"/>
        <v>0</v>
      </c>
      <c r="AM229" s="52">
        <f t="shared" si="55"/>
        <v>183753.21</v>
      </c>
      <c r="AN229" s="51">
        <f t="shared" si="50"/>
        <v>183753.21</v>
      </c>
      <c r="AO229" s="51">
        <f t="shared" si="56"/>
        <v>0</v>
      </c>
      <c r="AP229" s="125" t="s">
        <v>333</v>
      </c>
      <c r="AQ229" s="52">
        <v>47522.38</v>
      </c>
      <c r="AR229" s="51">
        <v>47522.38</v>
      </c>
      <c r="AS229" s="51">
        <f t="shared" si="52"/>
        <v>0</v>
      </c>
      <c r="AT229" s="126">
        <f t="shared" si="58"/>
        <v>0</v>
      </c>
      <c r="AU229" s="109"/>
      <c r="AV229" s="67"/>
      <c r="AW229" s="4"/>
      <c r="AX229" s="4"/>
      <c r="AY229" s="4"/>
      <c r="AZ229" s="4"/>
      <c r="BA229" s="4"/>
      <c r="BB229" s="4"/>
    </row>
    <row r="230" spans="1:54" ht="24.75" hidden="1" x14ac:dyDescent="0.2">
      <c r="A230" s="32">
        <v>636</v>
      </c>
      <c r="B230" s="94" t="s">
        <v>1135</v>
      </c>
      <c r="C230" s="107" t="s">
        <v>1136</v>
      </c>
      <c r="D230" s="107"/>
      <c r="E230" s="258"/>
      <c r="F230" s="36"/>
      <c r="G230" s="36"/>
      <c r="H230" s="67" t="s">
        <v>60</v>
      </c>
      <c r="I230" s="158">
        <v>6211</v>
      </c>
      <c r="J230" s="107">
        <v>2</v>
      </c>
      <c r="K230" s="39">
        <v>2</v>
      </c>
      <c r="L230" s="157" t="s">
        <v>61</v>
      </c>
      <c r="M230" s="153" t="s">
        <v>1123</v>
      </c>
      <c r="N230" s="42" t="s">
        <v>76</v>
      </c>
      <c r="O230" s="117" t="s">
        <v>88</v>
      </c>
      <c r="P230" s="67" t="s">
        <v>331</v>
      </c>
      <c r="Q230" s="67" t="s">
        <v>1138</v>
      </c>
      <c r="R230" s="255"/>
      <c r="S230" s="52">
        <f t="shared" si="59"/>
        <v>185500</v>
      </c>
      <c r="T230" s="52">
        <v>185500</v>
      </c>
      <c r="U230" s="52">
        <v>0</v>
      </c>
      <c r="V230" s="67" t="s">
        <v>1129</v>
      </c>
      <c r="W230" s="143" t="s">
        <v>1130</v>
      </c>
      <c r="X230" s="109"/>
      <c r="Y230" s="109" t="s">
        <v>234</v>
      </c>
      <c r="Z230" s="155"/>
      <c r="AA230" s="155"/>
      <c r="AB230" s="155">
        <f t="shared" si="53"/>
        <v>0</v>
      </c>
      <c r="AC230" s="109"/>
      <c r="AD230" s="154"/>
      <c r="AE230" s="51">
        <f t="shared" si="60"/>
        <v>0</v>
      </c>
      <c r="AF230" s="52">
        <f t="shared" ref="AF230:AF289" si="61">T230-AG230-AJ230</f>
        <v>1746.7900000000081</v>
      </c>
      <c r="AG230" s="52">
        <v>183753.21</v>
      </c>
      <c r="AH230" s="52">
        <f>55125.97+128627.24</f>
        <v>183753.21000000002</v>
      </c>
      <c r="AI230" s="52">
        <f t="shared" si="57"/>
        <v>-2.9103830456733704E-11</v>
      </c>
      <c r="AJ230" s="156">
        <v>0</v>
      </c>
      <c r="AK230" s="155">
        <v>0</v>
      </c>
      <c r="AL230" s="52">
        <f t="shared" si="54"/>
        <v>0</v>
      </c>
      <c r="AM230" s="52">
        <f t="shared" si="55"/>
        <v>183753.21</v>
      </c>
      <c r="AN230" s="51">
        <f t="shared" si="50"/>
        <v>183753.21000000002</v>
      </c>
      <c r="AO230" s="51">
        <f t="shared" si="56"/>
        <v>0</v>
      </c>
      <c r="AP230" s="125" t="s">
        <v>333</v>
      </c>
      <c r="AQ230" s="52">
        <v>47522.39</v>
      </c>
      <c r="AR230" s="51">
        <v>47522.39</v>
      </c>
      <c r="AS230" s="51">
        <f t="shared" si="52"/>
        <v>0</v>
      </c>
      <c r="AT230" s="126">
        <f t="shared" si="58"/>
        <v>1746.789999999979</v>
      </c>
      <c r="AU230" s="109"/>
      <c r="AV230" s="67"/>
      <c r="AW230" s="4"/>
      <c r="AX230" s="4"/>
      <c r="AY230" s="4"/>
      <c r="AZ230" s="4"/>
      <c r="BA230" s="4"/>
      <c r="BB230" s="4"/>
    </row>
    <row r="231" spans="1:54" ht="33" hidden="1" x14ac:dyDescent="0.2">
      <c r="A231" s="32">
        <v>636</v>
      </c>
      <c r="B231" s="94" t="s">
        <v>1139</v>
      </c>
      <c r="C231" s="116" t="s">
        <v>1140</v>
      </c>
      <c r="D231" s="107"/>
      <c r="E231" s="256" t="s">
        <v>1141</v>
      </c>
      <c r="F231" s="159"/>
      <c r="G231" s="159"/>
      <c r="H231" s="67" t="s">
        <v>1121</v>
      </c>
      <c r="I231" s="131">
        <v>6211</v>
      </c>
      <c r="J231" s="107">
        <v>2</v>
      </c>
      <c r="K231" s="39">
        <v>6</v>
      </c>
      <c r="L231" s="152" t="s">
        <v>1122</v>
      </c>
      <c r="M231" s="153" t="s">
        <v>1123</v>
      </c>
      <c r="N231" s="42" t="s">
        <v>76</v>
      </c>
      <c r="O231" s="117" t="s">
        <v>88</v>
      </c>
      <c r="P231" s="67" t="s">
        <v>786</v>
      </c>
      <c r="Q231" s="67" t="s">
        <v>1142</v>
      </c>
      <c r="R231" s="253" t="s">
        <v>1143</v>
      </c>
      <c r="S231" s="52">
        <f t="shared" si="59"/>
        <v>182898.43</v>
      </c>
      <c r="T231" s="52">
        <f>185500-2601.57</f>
        <v>182898.43</v>
      </c>
      <c r="U231" s="52">
        <v>0</v>
      </c>
      <c r="V231" s="109" t="s">
        <v>1125</v>
      </c>
      <c r="W231" s="154" t="s">
        <v>1134</v>
      </c>
      <c r="X231" s="109"/>
      <c r="Y231" s="109" t="s">
        <v>234</v>
      </c>
      <c r="Z231" s="155"/>
      <c r="AA231" s="155"/>
      <c r="AB231" s="155">
        <f t="shared" si="53"/>
        <v>0</v>
      </c>
      <c r="AC231" s="109"/>
      <c r="AD231" s="154"/>
      <c r="AE231" s="51">
        <f t="shared" si="60"/>
        <v>0</v>
      </c>
      <c r="AF231" s="52">
        <f t="shared" si="61"/>
        <v>0</v>
      </c>
      <c r="AG231" s="52">
        <v>182898.43</v>
      </c>
      <c r="AH231" s="52">
        <f t="shared" ref="AH231:AH237" si="62">54869.53+128028.9</f>
        <v>182898.43</v>
      </c>
      <c r="AI231" s="52">
        <f t="shared" si="57"/>
        <v>0</v>
      </c>
      <c r="AJ231" s="156">
        <v>0</v>
      </c>
      <c r="AK231" s="155">
        <v>0</v>
      </c>
      <c r="AL231" s="52">
        <f t="shared" si="54"/>
        <v>0</v>
      </c>
      <c r="AM231" s="52">
        <f t="shared" ref="AM231:AM286" si="63">SUM(AG231+Z231)+AJ231</f>
        <v>182898.43</v>
      </c>
      <c r="AN231" s="51">
        <f t="shared" si="50"/>
        <v>182898.43</v>
      </c>
      <c r="AO231" s="51">
        <f t="shared" si="56"/>
        <v>0</v>
      </c>
      <c r="AP231" s="125"/>
      <c r="AQ231" s="52">
        <v>47301.32</v>
      </c>
      <c r="AR231" s="51">
        <v>47301.32</v>
      </c>
      <c r="AS231" s="51">
        <f t="shared" si="52"/>
        <v>0</v>
      </c>
      <c r="AT231" s="126">
        <f t="shared" si="58"/>
        <v>0</v>
      </c>
      <c r="AU231" s="109"/>
      <c r="AV231" s="67"/>
      <c r="AW231" s="4"/>
      <c r="AX231" s="4"/>
      <c r="AY231" s="4"/>
      <c r="AZ231" s="4"/>
      <c r="BA231" s="4"/>
      <c r="BB231" s="4"/>
    </row>
    <row r="232" spans="1:54" ht="24.75" hidden="1" x14ac:dyDescent="0.2">
      <c r="A232" s="32">
        <v>636</v>
      </c>
      <c r="B232" s="94" t="s">
        <v>1139</v>
      </c>
      <c r="C232" s="116" t="s">
        <v>1140</v>
      </c>
      <c r="D232" s="107"/>
      <c r="E232" s="258"/>
      <c r="F232" s="160"/>
      <c r="G232" s="160"/>
      <c r="H232" s="67" t="s">
        <v>60</v>
      </c>
      <c r="I232" s="131"/>
      <c r="J232" s="119">
        <v>2</v>
      </c>
      <c r="K232" s="39">
        <v>2</v>
      </c>
      <c r="L232" s="157" t="s">
        <v>61</v>
      </c>
      <c r="M232" s="153" t="s">
        <v>1123</v>
      </c>
      <c r="N232" s="42" t="s">
        <v>76</v>
      </c>
      <c r="O232" s="117" t="s">
        <v>88</v>
      </c>
      <c r="P232" s="67" t="s">
        <v>786</v>
      </c>
      <c r="Q232" s="67" t="s">
        <v>1142</v>
      </c>
      <c r="R232" s="254"/>
      <c r="S232" s="52">
        <f t="shared" si="59"/>
        <v>185500</v>
      </c>
      <c r="T232" s="52">
        <v>185500</v>
      </c>
      <c r="U232" s="52">
        <v>0</v>
      </c>
      <c r="V232" s="67" t="s">
        <v>1129</v>
      </c>
      <c r="W232" s="143" t="s">
        <v>1130</v>
      </c>
      <c r="X232" s="109"/>
      <c r="Y232" s="109" t="s">
        <v>234</v>
      </c>
      <c r="Z232" s="155"/>
      <c r="AA232" s="155"/>
      <c r="AB232" s="155">
        <f t="shared" si="53"/>
        <v>0</v>
      </c>
      <c r="AC232" s="109"/>
      <c r="AD232" s="154"/>
      <c r="AE232" s="51">
        <f t="shared" si="60"/>
        <v>0</v>
      </c>
      <c r="AF232" s="52">
        <f t="shared" si="61"/>
        <v>2601.570000000007</v>
      </c>
      <c r="AG232" s="52">
        <v>182898.43</v>
      </c>
      <c r="AH232" s="52">
        <f t="shared" si="62"/>
        <v>182898.43</v>
      </c>
      <c r="AI232" s="52">
        <f t="shared" si="57"/>
        <v>0</v>
      </c>
      <c r="AJ232" s="156">
        <v>0</v>
      </c>
      <c r="AK232" s="155">
        <v>0</v>
      </c>
      <c r="AL232" s="52">
        <f t="shared" si="54"/>
        <v>0</v>
      </c>
      <c r="AM232" s="52">
        <f t="shared" si="63"/>
        <v>182898.43</v>
      </c>
      <c r="AN232" s="51">
        <f t="shared" si="50"/>
        <v>182898.43</v>
      </c>
      <c r="AO232" s="51">
        <f t="shared" si="56"/>
        <v>0</v>
      </c>
      <c r="AP232" s="125"/>
      <c r="AQ232" s="52">
        <v>47301.32</v>
      </c>
      <c r="AR232" s="51">
        <v>47301.32</v>
      </c>
      <c r="AS232" s="51">
        <f t="shared" si="52"/>
        <v>0</v>
      </c>
      <c r="AT232" s="126">
        <f t="shared" si="58"/>
        <v>2601.570000000007</v>
      </c>
      <c r="AU232" s="109"/>
      <c r="AV232" s="67"/>
      <c r="AW232" s="4"/>
      <c r="AX232" s="4"/>
      <c r="AY232" s="4"/>
      <c r="AZ232" s="4"/>
      <c r="BA232" s="4"/>
      <c r="BB232" s="4"/>
    </row>
    <row r="233" spans="1:54" ht="33" hidden="1" x14ac:dyDescent="0.2">
      <c r="A233" s="32">
        <v>636</v>
      </c>
      <c r="B233" s="94" t="s">
        <v>1144</v>
      </c>
      <c r="C233" s="116" t="s">
        <v>1145</v>
      </c>
      <c r="D233" s="107"/>
      <c r="E233" s="256" t="s">
        <v>1141</v>
      </c>
      <c r="F233" s="159"/>
      <c r="G233" s="159"/>
      <c r="H233" s="67" t="s">
        <v>1121</v>
      </c>
      <c r="I233" s="276">
        <v>6211</v>
      </c>
      <c r="J233" s="107">
        <v>2</v>
      </c>
      <c r="K233" s="39">
        <v>6</v>
      </c>
      <c r="L233" s="152" t="s">
        <v>1122</v>
      </c>
      <c r="M233" s="153" t="s">
        <v>1123</v>
      </c>
      <c r="N233" s="42" t="s">
        <v>76</v>
      </c>
      <c r="O233" s="117" t="s">
        <v>88</v>
      </c>
      <c r="P233" s="67" t="s">
        <v>434</v>
      </c>
      <c r="Q233" s="67" t="s">
        <v>1146</v>
      </c>
      <c r="R233" s="254"/>
      <c r="S233" s="52">
        <f t="shared" si="59"/>
        <v>182898.43</v>
      </c>
      <c r="T233" s="52">
        <f>185500-2601.57</f>
        <v>182898.43</v>
      </c>
      <c r="U233" s="52">
        <v>0</v>
      </c>
      <c r="V233" s="109" t="s">
        <v>1125</v>
      </c>
      <c r="W233" s="154" t="s">
        <v>1134</v>
      </c>
      <c r="X233" s="109"/>
      <c r="Y233" s="109" t="s">
        <v>234</v>
      </c>
      <c r="Z233" s="155"/>
      <c r="AA233" s="155"/>
      <c r="AB233" s="155">
        <f t="shared" si="53"/>
        <v>0</v>
      </c>
      <c r="AC233" s="109"/>
      <c r="AD233" s="154"/>
      <c r="AE233" s="51">
        <f t="shared" si="60"/>
        <v>0</v>
      </c>
      <c r="AF233" s="52">
        <f t="shared" si="61"/>
        <v>0</v>
      </c>
      <c r="AG233" s="52">
        <v>182898.43</v>
      </c>
      <c r="AH233" s="52">
        <f t="shared" si="62"/>
        <v>182898.43</v>
      </c>
      <c r="AI233" s="52">
        <f t="shared" si="57"/>
        <v>0</v>
      </c>
      <c r="AJ233" s="156">
        <v>0</v>
      </c>
      <c r="AK233" s="155">
        <v>0</v>
      </c>
      <c r="AL233" s="52">
        <f t="shared" si="54"/>
        <v>0</v>
      </c>
      <c r="AM233" s="52">
        <f t="shared" si="63"/>
        <v>182898.43</v>
      </c>
      <c r="AN233" s="51">
        <f t="shared" si="50"/>
        <v>182898.43</v>
      </c>
      <c r="AO233" s="51">
        <f t="shared" si="56"/>
        <v>0</v>
      </c>
      <c r="AP233" s="125"/>
      <c r="AQ233" s="52">
        <v>47301.32</v>
      </c>
      <c r="AR233" s="51">
        <v>47301.32</v>
      </c>
      <c r="AS233" s="51">
        <f t="shared" si="52"/>
        <v>0</v>
      </c>
      <c r="AT233" s="126">
        <f t="shared" si="58"/>
        <v>0</v>
      </c>
      <c r="AU233" s="109"/>
      <c r="AV233" s="67"/>
      <c r="AW233" s="4"/>
      <c r="AX233" s="4"/>
      <c r="AY233" s="4"/>
      <c r="AZ233" s="4"/>
      <c r="BA233" s="4"/>
      <c r="BB233" s="4"/>
    </row>
    <row r="234" spans="1:54" ht="24.75" hidden="1" x14ac:dyDescent="0.2">
      <c r="A234" s="32">
        <v>636</v>
      </c>
      <c r="B234" s="94" t="s">
        <v>1144</v>
      </c>
      <c r="C234" s="116" t="s">
        <v>1145</v>
      </c>
      <c r="D234" s="107"/>
      <c r="E234" s="258"/>
      <c r="F234" s="160"/>
      <c r="G234" s="160"/>
      <c r="H234" s="67" t="s">
        <v>60</v>
      </c>
      <c r="I234" s="277"/>
      <c r="J234" s="119">
        <v>2</v>
      </c>
      <c r="K234" s="39">
        <v>2</v>
      </c>
      <c r="L234" s="157" t="s">
        <v>61</v>
      </c>
      <c r="M234" s="153" t="s">
        <v>1123</v>
      </c>
      <c r="N234" s="42" t="s">
        <v>76</v>
      </c>
      <c r="O234" s="117" t="s">
        <v>88</v>
      </c>
      <c r="P234" s="67" t="s">
        <v>434</v>
      </c>
      <c r="Q234" s="67" t="s">
        <v>1146</v>
      </c>
      <c r="R234" s="254"/>
      <c r="S234" s="52">
        <f t="shared" si="59"/>
        <v>185500</v>
      </c>
      <c r="T234" s="52">
        <v>185500</v>
      </c>
      <c r="U234" s="52">
        <v>0</v>
      </c>
      <c r="V234" s="67" t="s">
        <v>1129</v>
      </c>
      <c r="W234" s="143" t="s">
        <v>1130</v>
      </c>
      <c r="X234" s="109"/>
      <c r="Y234" s="109" t="s">
        <v>234</v>
      </c>
      <c r="Z234" s="155"/>
      <c r="AA234" s="155"/>
      <c r="AB234" s="155">
        <f t="shared" si="53"/>
        <v>0</v>
      </c>
      <c r="AC234" s="109"/>
      <c r="AD234" s="154"/>
      <c r="AE234" s="51">
        <f t="shared" si="60"/>
        <v>0</v>
      </c>
      <c r="AF234" s="52">
        <f t="shared" si="61"/>
        <v>2601.570000000007</v>
      </c>
      <c r="AG234" s="52">
        <v>182898.43</v>
      </c>
      <c r="AH234" s="52">
        <f t="shared" si="62"/>
        <v>182898.43</v>
      </c>
      <c r="AI234" s="52">
        <f t="shared" si="57"/>
        <v>0</v>
      </c>
      <c r="AJ234" s="156">
        <v>0</v>
      </c>
      <c r="AK234" s="155">
        <v>0</v>
      </c>
      <c r="AL234" s="52">
        <f t="shared" si="54"/>
        <v>0</v>
      </c>
      <c r="AM234" s="52">
        <f t="shared" si="63"/>
        <v>182898.43</v>
      </c>
      <c r="AN234" s="51">
        <f t="shared" si="50"/>
        <v>182898.43</v>
      </c>
      <c r="AO234" s="51">
        <f t="shared" si="56"/>
        <v>0</v>
      </c>
      <c r="AP234" s="125"/>
      <c r="AQ234" s="52">
        <v>47301.32</v>
      </c>
      <c r="AR234" s="51">
        <v>47301.32</v>
      </c>
      <c r="AS234" s="51">
        <f t="shared" si="52"/>
        <v>0</v>
      </c>
      <c r="AT234" s="126">
        <f t="shared" si="58"/>
        <v>2601.570000000007</v>
      </c>
      <c r="AU234" s="109"/>
      <c r="AV234" s="67"/>
      <c r="AW234" s="4"/>
      <c r="AX234" s="4"/>
      <c r="AY234" s="4"/>
      <c r="AZ234" s="4"/>
      <c r="BA234" s="4"/>
      <c r="BB234" s="4"/>
    </row>
    <row r="235" spans="1:54" ht="33" hidden="1" x14ac:dyDescent="0.2">
      <c r="A235" s="32">
        <v>636</v>
      </c>
      <c r="B235" s="94" t="s">
        <v>1147</v>
      </c>
      <c r="C235" s="119" t="s">
        <v>1148</v>
      </c>
      <c r="D235" s="107">
        <v>473</v>
      </c>
      <c r="E235" s="256" t="s">
        <v>1141</v>
      </c>
      <c r="F235" s="82"/>
      <c r="G235" s="82"/>
      <c r="H235" s="67" t="s">
        <v>1121</v>
      </c>
      <c r="I235" s="276">
        <v>6211</v>
      </c>
      <c r="J235" s="107">
        <v>2</v>
      </c>
      <c r="K235" s="39">
        <v>6</v>
      </c>
      <c r="L235" s="152" t="s">
        <v>1122</v>
      </c>
      <c r="M235" s="153" t="s">
        <v>1123</v>
      </c>
      <c r="N235" s="42" t="s">
        <v>76</v>
      </c>
      <c r="O235" s="117" t="s">
        <v>88</v>
      </c>
      <c r="P235" s="67" t="s">
        <v>380</v>
      </c>
      <c r="Q235" s="67" t="s">
        <v>1149</v>
      </c>
      <c r="R235" s="254"/>
      <c r="S235" s="52">
        <f t="shared" si="59"/>
        <v>182898.43</v>
      </c>
      <c r="T235" s="52">
        <f>185500-2601.57</f>
        <v>182898.43</v>
      </c>
      <c r="U235" s="52">
        <v>0</v>
      </c>
      <c r="V235" s="109" t="s">
        <v>1125</v>
      </c>
      <c r="W235" s="154" t="s">
        <v>1134</v>
      </c>
      <c r="X235" s="109"/>
      <c r="Y235" s="109" t="s">
        <v>234</v>
      </c>
      <c r="Z235" s="155"/>
      <c r="AA235" s="155"/>
      <c r="AB235" s="155">
        <f t="shared" si="53"/>
        <v>0</v>
      </c>
      <c r="AC235" s="109"/>
      <c r="AD235" s="154"/>
      <c r="AE235" s="51">
        <f t="shared" si="60"/>
        <v>0</v>
      </c>
      <c r="AF235" s="52">
        <f t="shared" si="61"/>
        <v>0</v>
      </c>
      <c r="AG235" s="52">
        <v>182898.43</v>
      </c>
      <c r="AH235" s="52">
        <f t="shared" si="62"/>
        <v>182898.43</v>
      </c>
      <c r="AI235" s="52">
        <f t="shared" si="57"/>
        <v>0</v>
      </c>
      <c r="AJ235" s="156">
        <v>0</v>
      </c>
      <c r="AK235" s="155">
        <v>0</v>
      </c>
      <c r="AL235" s="52">
        <f t="shared" si="54"/>
        <v>0</v>
      </c>
      <c r="AM235" s="52">
        <f t="shared" si="63"/>
        <v>182898.43</v>
      </c>
      <c r="AN235" s="51">
        <f t="shared" si="50"/>
        <v>182898.43</v>
      </c>
      <c r="AO235" s="51">
        <f t="shared" si="56"/>
        <v>0</v>
      </c>
      <c r="AP235" s="125"/>
      <c r="AQ235" s="52">
        <v>47301.32</v>
      </c>
      <c r="AR235" s="51">
        <v>47301.32</v>
      </c>
      <c r="AS235" s="51">
        <f t="shared" si="52"/>
        <v>0</v>
      </c>
      <c r="AT235" s="126">
        <f t="shared" si="58"/>
        <v>0</v>
      </c>
      <c r="AU235" s="109"/>
      <c r="AV235" s="67"/>
      <c r="AW235" s="4"/>
      <c r="AX235" s="4"/>
      <c r="AY235" s="4"/>
      <c r="AZ235" s="4"/>
      <c r="BA235" s="4"/>
      <c r="BB235" s="4"/>
    </row>
    <row r="236" spans="1:54" ht="24.75" hidden="1" x14ac:dyDescent="0.2">
      <c r="A236" s="32">
        <v>636</v>
      </c>
      <c r="B236" s="94" t="s">
        <v>1147</v>
      </c>
      <c r="C236" s="119" t="s">
        <v>1148</v>
      </c>
      <c r="D236" s="107">
        <v>474</v>
      </c>
      <c r="E236" s="258"/>
      <c r="F236" s="36"/>
      <c r="G236" s="36"/>
      <c r="H236" s="67" t="s">
        <v>60</v>
      </c>
      <c r="I236" s="277"/>
      <c r="J236" s="119">
        <v>2</v>
      </c>
      <c r="K236" s="39">
        <v>2</v>
      </c>
      <c r="L236" s="157" t="s">
        <v>61</v>
      </c>
      <c r="M236" s="153" t="s">
        <v>1123</v>
      </c>
      <c r="N236" s="42" t="s">
        <v>76</v>
      </c>
      <c r="O236" s="117" t="s">
        <v>88</v>
      </c>
      <c r="P236" s="67" t="s">
        <v>380</v>
      </c>
      <c r="Q236" s="67" t="s">
        <v>1149</v>
      </c>
      <c r="R236" s="254"/>
      <c r="S236" s="52">
        <f t="shared" si="59"/>
        <v>185500</v>
      </c>
      <c r="T236" s="52">
        <v>185500</v>
      </c>
      <c r="U236" s="52">
        <v>0</v>
      </c>
      <c r="V236" s="67" t="s">
        <v>1129</v>
      </c>
      <c r="W236" s="143" t="s">
        <v>1130</v>
      </c>
      <c r="X236" s="109"/>
      <c r="Y236" s="109" t="s">
        <v>234</v>
      </c>
      <c r="Z236" s="155"/>
      <c r="AA236" s="155"/>
      <c r="AB236" s="155">
        <f t="shared" si="53"/>
        <v>0</v>
      </c>
      <c r="AC236" s="109"/>
      <c r="AD236" s="154"/>
      <c r="AE236" s="51">
        <f t="shared" si="60"/>
        <v>0</v>
      </c>
      <c r="AF236" s="52">
        <f t="shared" si="61"/>
        <v>2601.570000000007</v>
      </c>
      <c r="AG236" s="52">
        <v>182898.43</v>
      </c>
      <c r="AH236" s="52">
        <f t="shared" si="62"/>
        <v>182898.43</v>
      </c>
      <c r="AI236" s="52">
        <f t="shared" si="57"/>
        <v>0</v>
      </c>
      <c r="AJ236" s="156">
        <v>0</v>
      </c>
      <c r="AK236" s="155">
        <v>0</v>
      </c>
      <c r="AL236" s="52">
        <f t="shared" si="54"/>
        <v>0</v>
      </c>
      <c r="AM236" s="52">
        <f t="shared" si="63"/>
        <v>182898.43</v>
      </c>
      <c r="AN236" s="51">
        <f t="shared" si="50"/>
        <v>182898.43</v>
      </c>
      <c r="AO236" s="51">
        <f t="shared" si="56"/>
        <v>0</v>
      </c>
      <c r="AP236" s="125"/>
      <c r="AQ236" s="52">
        <v>47301.31</v>
      </c>
      <c r="AR236" s="51">
        <v>47301.31</v>
      </c>
      <c r="AS236" s="51">
        <f t="shared" si="52"/>
        <v>0</v>
      </c>
      <c r="AT236" s="126">
        <f t="shared" si="58"/>
        <v>2601.570000000007</v>
      </c>
      <c r="AU236" s="109"/>
      <c r="AV236" s="67"/>
      <c r="AW236" s="4"/>
      <c r="AX236" s="4"/>
      <c r="AY236" s="4"/>
      <c r="AZ236" s="4"/>
      <c r="BA236" s="4"/>
      <c r="BB236" s="4"/>
    </row>
    <row r="237" spans="1:54" ht="33" hidden="1" x14ac:dyDescent="0.2">
      <c r="A237" s="32">
        <v>636</v>
      </c>
      <c r="B237" s="94" t="s">
        <v>1150</v>
      </c>
      <c r="C237" s="119" t="s">
        <v>1151</v>
      </c>
      <c r="D237" s="107">
        <v>484</v>
      </c>
      <c r="E237" s="256" t="s">
        <v>1141</v>
      </c>
      <c r="F237" s="159"/>
      <c r="G237" s="159"/>
      <c r="H237" s="67" t="s">
        <v>1121</v>
      </c>
      <c r="I237" s="276">
        <v>6211</v>
      </c>
      <c r="J237" s="107">
        <v>2</v>
      </c>
      <c r="K237" s="39">
        <v>6</v>
      </c>
      <c r="L237" s="152" t="s">
        <v>1122</v>
      </c>
      <c r="M237" s="153" t="s">
        <v>1123</v>
      </c>
      <c r="N237" s="42" t="s">
        <v>76</v>
      </c>
      <c r="O237" s="117" t="s">
        <v>88</v>
      </c>
      <c r="P237" s="67" t="s">
        <v>1152</v>
      </c>
      <c r="Q237" s="67" t="s">
        <v>1153</v>
      </c>
      <c r="R237" s="254"/>
      <c r="S237" s="52">
        <f t="shared" si="59"/>
        <v>182898.43</v>
      </c>
      <c r="T237" s="52">
        <f>185500-2601.57</f>
        <v>182898.43</v>
      </c>
      <c r="U237" s="52">
        <v>0</v>
      </c>
      <c r="V237" s="109" t="s">
        <v>1125</v>
      </c>
      <c r="W237" s="154" t="s">
        <v>1134</v>
      </c>
      <c r="X237" s="109"/>
      <c r="Y237" s="109" t="s">
        <v>234</v>
      </c>
      <c r="Z237" s="155"/>
      <c r="AA237" s="155"/>
      <c r="AB237" s="155">
        <f t="shared" si="53"/>
        <v>0</v>
      </c>
      <c r="AC237" s="109"/>
      <c r="AD237" s="154"/>
      <c r="AE237" s="51">
        <f t="shared" si="60"/>
        <v>0</v>
      </c>
      <c r="AF237" s="52">
        <f t="shared" si="61"/>
        <v>0</v>
      </c>
      <c r="AG237" s="52">
        <v>182898.43</v>
      </c>
      <c r="AH237" s="52">
        <f t="shared" si="62"/>
        <v>182898.43</v>
      </c>
      <c r="AI237" s="52">
        <f t="shared" si="57"/>
        <v>0</v>
      </c>
      <c r="AJ237" s="156">
        <v>0</v>
      </c>
      <c r="AK237" s="155">
        <v>0</v>
      </c>
      <c r="AL237" s="52">
        <f t="shared" si="54"/>
        <v>0</v>
      </c>
      <c r="AM237" s="52">
        <f t="shared" si="63"/>
        <v>182898.43</v>
      </c>
      <c r="AN237" s="51">
        <f t="shared" si="50"/>
        <v>182898.43</v>
      </c>
      <c r="AO237" s="51">
        <f t="shared" si="56"/>
        <v>0</v>
      </c>
      <c r="AP237" s="125"/>
      <c r="AQ237" s="52">
        <v>47301.32</v>
      </c>
      <c r="AR237" s="51">
        <v>47301.32</v>
      </c>
      <c r="AS237" s="51">
        <f t="shared" si="52"/>
        <v>0</v>
      </c>
      <c r="AT237" s="126">
        <f t="shared" si="58"/>
        <v>0</v>
      </c>
      <c r="AU237" s="109"/>
      <c r="AV237" s="67"/>
      <c r="AW237" s="4"/>
      <c r="AX237" s="4"/>
      <c r="AY237" s="4"/>
      <c r="AZ237" s="4"/>
      <c r="BA237" s="4"/>
      <c r="BB237" s="4"/>
    </row>
    <row r="238" spans="1:54" ht="24.75" hidden="1" x14ac:dyDescent="0.2">
      <c r="A238" s="32">
        <v>636</v>
      </c>
      <c r="B238" s="94" t="s">
        <v>1150</v>
      </c>
      <c r="C238" s="119" t="s">
        <v>1151</v>
      </c>
      <c r="D238" s="107"/>
      <c r="E238" s="258"/>
      <c r="F238" s="160"/>
      <c r="G238" s="160"/>
      <c r="H238" s="67" t="s">
        <v>60</v>
      </c>
      <c r="I238" s="277"/>
      <c r="J238" s="119">
        <v>2</v>
      </c>
      <c r="K238" s="39">
        <v>2</v>
      </c>
      <c r="L238" s="157" t="s">
        <v>61</v>
      </c>
      <c r="M238" s="153" t="s">
        <v>1123</v>
      </c>
      <c r="N238" s="42" t="s">
        <v>76</v>
      </c>
      <c r="O238" s="117" t="s">
        <v>88</v>
      </c>
      <c r="P238" s="67" t="s">
        <v>1152</v>
      </c>
      <c r="Q238" s="67" t="s">
        <v>1153</v>
      </c>
      <c r="R238" s="255"/>
      <c r="S238" s="52">
        <f t="shared" si="59"/>
        <v>185500</v>
      </c>
      <c r="T238" s="52">
        <v>185500</v>
      </c>
      <c r="U238" s="52">
        <v>0</v>
      </c>
      <c r="V238" s="67" t="s">
        <v>1129</v>
      </c>
      <c r="W238" s="143" t="s">
        <v>1130</v>
      </c>
      <c r="X238" s="109"/>
      <c r="Y238" s="109" t="s">
        <v>234</v>
      </c>
      <c r="Z238" s="155"/>
      <c r="AA238" s="155"/>
      <c r="AB238" s="155">
        <f t="shared" si="53"/>
        <v>0</v>
      </c>
      <c r="AC238" s="109"/>
      <c r="AD238" s="154"/>
      <c r="AE238" s="51">
        <f t="shared" si="60"/>
        <v>0</v>
      </c>
      <c r="AF238" s="52">
        <f t="shared" si="61"/>
        <v>2601.570000000007</v>
      </c>
      <c r="AG238" s="52">
        <v>182898.43</v>
      </c>
      <c r="AH238" s="52">
        <f>54869.52+128028.9</f>
        <v>182898.41999999998</v>
      </c>
      <c r="AI238" s="52">
        <f t="shared" si="57"/>
        <v>1.0000000009313226E-2</v>
      </c>
      <c r="AJ238" s="156">
        <v>0</v>
      </c>
      <c r="AK238" s="155">
        <v>0</v>
      </c>
      <c r="AL238" s="52">
        <f t="shared" si="54"/>
        <v>0</v>
      </c>
      <c r="AM238" s="52">
        <f t="shared" si="63"/>
        <v>182898.43</v>
      </c>
      <c r="AN238" s="51">
        <f t="shared" si="50"/>
        <v>182898.41999999998</v>
      </c>
      <c r="AO238" s="51">
        <f t="shared" si="56"/>
        <v>1.0000000009313226E-2</v>
      </c>
      <c r="AP238" s="125"/>
      <c r="AQ238" s="52">
        <v>47301.31</v>
      </c>
      <c r="AR238" s="51">
        <v>47301.31</v>
      </c>
      <c r="AS238" s="51">
        <f t="shared" si="52"/>
        <v>0</v>
      </c>
      <c r="AT238" s="126">
        <f t="shared" si="58"/>
        <v>2601.5800000000163</v>
      </c>
      <c r="AU238" s="109"/>
      <c r="AV238" s="67"/>
      <c r="AW238" s="4"/>
      <c r="AX238" s="4"/>
      <c r="AY238" s="4"/>
      <c r="AZ238" s="4"/>
      <c r="BA238" s="4"/>
      <c r="BB238" s="4"/>
    </row>
    <row r="239" spans="1:54" ht="33" hidden="1" x14ac:dyDescent="0.2">
      <c r="A239" s="151">
        <v>639</v>
      </c>
      <c r="B239" s="105" t="s">
        <v>1154</v>
      </c>
      <c r="C239" s="106"/>
      <c r="D239" s="107">
        <v>415</v>
      </c>
      <c r="E239" s="36" t="s">
        <v>1155</v>
      </c>
      <c r="F239" s="36"/>
      <c r="G239" s="36"/>
      <c r="H239" s="33" t="s">
        <v>209</v>
      </c>
      <c r="I239" s="107">
        <v>6222</v>
      </c>
      <c r="J239" s="107"/>
      <c r="K239" s="39">
        <v>2.2999999999999998</v>
      </c>
      <c r="L239" s="40" t="s">
        <v>210</v>
      </c>
      <c r="M239" s="147" t="s">
        <v>75</v>
      </c>
      <c r="N239" s="42" t="s">
        <v>63</v>
      </c>
      <c r="O239" s="41" t="s">
        <v>77</v>
      </c>
      <c r="P239" s="46" t="s">
        <v>1156</v>
      </c>
      <c r="Q239" s="46" t="s">
        <v>1157</v>
      </c>
      <c r="R239" s="33" t="s">
        <v>1158</v>
      </c>
      <c r="S239" s="45">
        <f t="shared" si="59"/>
        <v>660000</v>
      </c>
      <c r="T239" s="45">
        <v>660000</v>
      </c>
      <c r="U239" s="45">
        <v>0</v>
      </c>
      <c r="V239" s="109" t="s">
        <v>1039</v>
      </c>
      <c r="W239" s="63">
        <v>41872</v>
      </c>
      <c r="X239" s="48"/>
      <c r="Y239" s="109" t="s">
        <v>234</v>
      </c>
      <c r="Z239" s="45"/>
      <c r="AA239" s="45"/>
      <c r="AB239" s="45">
        <f t="shared" si="53"/>
        <v>0</v>
      </c>
      <c r="AC239" s="48"/>
      <c r="AD239" s="63"/>
      <c r="AE239" s="51">
        <f t="shared" si="60"/>
        <v>0</v>
      </c>
      <c r="AF239" s="52">
        <f t="shared" si="61"/>
        <v>23200</v>
      </c>
      <c r="AG239" s="52">
        <v>636800</v>
      </c>
      <c r="AH239" s="52">
        <f>191040.01+378395.55</f>
        <v>569435.56000000006</v>
      </c>
      <c r="AI239" s="52">
        <f t="shared" si="57"/>
        <v>67364.439999999944</v>
      </c>
      <c r="AJ239" s="124">
        <v>0</v>
      </c>
      <c r="AK239" s="45">
        <v>0</v>
      </c>
      <c r="AL239" s="52">
        <f t="shared" si="54"/>
        <v>0</v>
      </c>
      <c r="AM239" s="52">
        <f t="shared" si="63"/>
        <v>636800</v>
      </c>
      <c r="AN239" s="51">
        <f t="shared" si="50"/>
        <v>569435.56000000006</v>
      </c>
      <c r="AO239" s="51">
        <f t="shared" si="56"/>
        <v>67364.439999999944</v>
      </c>
      <c r="AP239" s="125" t="s">
        <v>205</v>
      </c>
      <c r="AQ239" s="52">
        <v>164689.66</v>
      </c>
      <c r="AR239" s="51">
        <v>139801.31</v>
      </c>
      <c r="AS239" s="51">
        <f t="shared" si="52"/>
        <v>24888.350000000006</v>
      </c>
      <c r="AT239" s="51">
        <f t="shared" si="58"/>
        <v>90564.439999999944</v>
      </c>
      <c r="AU239" s="48"/>
      <c r="AV239" s="46"/>
    </row>
    <row r="240" spans="1:54" ht="24.75" hidden="1" x14ac:dyDescent="0.2">
      <c r="A240" s="32">
        <v>636</v>
      </c>
      <c r="B240" s="105" t="s">
        <v>1159</v>
      </c>
      <c r="C240" s="106"/>
      <c r="D240" s="107">
        <v>612</v>
      </c>
      <c r="E240" s="36" t="s">
        <v>1160</v>
      </c>
      <c r="F240" s="36"/>
      <c r="G240" s="36" t="s">
        <v>1057</v>
      </c>
      <c r="H240" s="33" t="s">
        <v>60</v>
      </c>
      <c r="I240" s="107">
        <v>6242</v>
      </c>
      <c r="J240" s="107"/>
      <c r="K240" s="39">
        <v>2</v>
      </c>
      <c r="L240" s="40" t="s">
        <v>61</v>
      </c>
      <c r="M240" s="147" t="s">
        <v>108</v>
      </c>
      <c r="N240" s="42" t="s">
        <v>63</v>
      </c>
      <c r="O240" s="148" t="s">
        <v>88</v>
      </c>
      <c r="P240" s="46" t="s">
        <v>229</v>
      </c>
      <c r="Q240" s="46" t="s">
        <v>588</v>
      </c>
      <c r="R240" s="33" t="s">
        <v>1161</v>
      </c>
      <c r="S240" s="45">
        <f t="shared" si="59"/>
        <v>1847883.12</v>
      </c>
      <c r="T240" s="45">
        <v>1816563.07</v>
      </c>
      <c r="U240" s="45">
        <v>31320.05</v>
      </c>
      <c r="V240" s="109" t="s">
        <v>1162</v>
      </c>
      <c r="W240" s="63">
        <v>41939</v>
      </c>
      <c r="X240" s="48"/>
      <c r="Y240" s="109" t="s">
        <v>234</v>
      </c>
      <c r="Z240" s="45">
        <v>31195.99</v>
      </c>
      <c r="AA240" s="45">
        <f>20000+10943.4</f>
        <v>30943.4</v>
      </c>
      <c r="AB240" s="45">
        <f t="shared" si="53"/>
        <v>252.59000000000015</v>
      </c>
      <c r="AC240" s="48" t="s">
        <v>82</v>
      </c>
      <c r="AD240" s="63">
        <v>42130</v>
      </c>
      <c r="AE240" s="51">
        <f t="shared" si="60"/>
        <v>124.05999999999767</v>
      </c>
      <c r="AF240" s="52">
        <f t="shared" si="61"/>
        <v>7195.8500000000931</v>
      </c>
      <c r="AG240" s="52">
        <v>1809367.22</v>
      </c>
      <c r="AH240" s="52">
        <f>542810.17+1266557.05</f>
        <v>1809367.2200000002</v>
      </c>
      <c r="AI240" s="52">
        <f t="shared" ref="AI240:AI299" si="64">SUM(AG240-AH240)</f>
        <v>-2.3283064365386963E-10</v>
      </c>
      <c r="AJ240" s="124">
        <v>0</v>
      </c>
      <c r="AK240" s="45">
        <v>0</v>
      </c>
      <c r="AL240" s="52">
        <f t="shared" si="54"/>
        <v>0</v>
      </c>
      <c r="AM240" s="52">
        <f t="shared" si="63"/>
        <v>1840563.21</v>
      </c>
      <c r="AN240" s="51">
        <f t="shared" si="50"/>
        <v>1840310.62</v>
      </c>
      <c r="AO240" s="51">
        <f t="shared" si="56"/>
        <v>252.58999999985099</v>
      </c>
      <c r="AP240" s="125" t="s">
        <v>333</v>
      </c>
      <c r="AQ240" s="52">
        <v>467939.8</v>
      </c>
      <c r="AR240" s="51">
        <v>467939.8</v>
      </c>
      <c r="AS240" s="51">
        <f t="shared" si="52"/>
        <v>0</v>
      </c>
      <c r="AT240" s="126">
        <f t="shared" ref="AT240:AT299" si="65">SUM(S240-AN240)</f>
        <v>7572.5</v>
      </c>
      <c r="AU240" s="48"/>
      <c r="AV240" s="46"/>
    </row>
    <row r="241" spans="1:54" ht="33" hidden="1" x14ac:dyDescent="0.2">
      <c r="A241" s="32">
        <v>636</v>
      </c>
      <c r="B241" s="94" t="s">
        <v>1163</v>
      </c>
      <c r="C241" s="119" t="s">
        <v>1164</v>
      </c>
      <c r="D241" s="107">
        <v>487</v>
      </c>
      <c r="E241" s="256" t="s">
        <v>1165</v>
      </c>
      <c r="F241" s="159">
        <v>2478</v>
      </c>
      <c r="G241" s="159"/>
      <c r="H241" s="67" t="s">
        <v>1166</v>
      </c>
      <c r="I241" s="158">
        <v>6211</v>
      </c>
      <c r="J241" s="107">
        <v>2</v>
      </c>
      <c r="K241" s="39">
        <v>6</v>
      </c>
      <c r="L241" s="152" t="s">
        <v>1122</v>
      </c>
      <c r="M241" s="153" t="s">
        <v>1123</v>
      </c>
      <c r="N241" s="42" t="s">
        <v>76</v>
      </c>
      <c r="O241" s="117" t="s">
        <v>88</v>
      </c>
      <c r="P241" s="48" t="s">
        <v>334</v>
      </c>
      <c r="Q241" s="67" t="s">
        <v>1167</v>
      </c>
      <c r="R241" s="253" t="s">
        <v>1168</v>
      </c>
      <c r="S241" s="52">
        <f t="shared" si="59"/>
        <v>337781.42</v>
      </c>
      <c r="T241" s="52">
        <f>338533.13-751.71</f>
        <v>337781.42</v>
      </c>
      <c r="U241" s="52">
        <v>0</v>
      </c>
      <c r="V241" s="109" t="s">
        <v>1125</v>
      </c>
      <c r="W241" s="154">
        <v>41929</v>
      </c>
      <c r="X241" s="109"/>
      <c r="Y241" s="109" t="s">
        <v>234</v>
      </c>
      <c r="Z241" s="155"/>
      <c r="AA241" s="155"/>
      <c r="AB241" s="155">
        <f t="shared" si="53"/>
        <v>0</v>
      </c>
      <c r="AC241" s="109"/>
      <c r="AD241" s="154"/>
      <c r="AE241" s="51">
        <f t="shared" si="60"/>
        <v>0</v>
      </c>
      <c r="AF241" s="52">
        <f t="shared" si="61"/>
        <v>0</v>
      </c>
      <c r="AG241" s="52">
        <v>337781.42</v>
      </c>
      <c r="AH241" s="52">
        <f>101334.43+236446.99</f>
        <v>337781.42</v>
      </c>
      <c r="AI241" s="52">
        <f t="shared" si="64"/>
        <v>0</v>
      </c>
      <c r="AJ241" s="156">
        <v>0</v>
      </c>
      <c r="AK241" s="155">
        <v>0</v>
      </c>
      <c r="AL241" s="52">
        <f t="shared" si="54"/>
        <v>0</v>
      </c>
      <c r="AM241" s="52">
        <f t="shared" si="63"/>
        <v>337781.42</v>
      </c>
      <c r="AN241" s="51">
        <f t="shared" si="50"/>
        <v>337781.42</v>
      </c>
      <c r="AO241" s="51">
        <f t="shared" si="56"/>
        <v>0</v>
      </c>
      <c r="AP241" s="125" t="s">
        <v>333</v>
      </c>
      <c r="AQ241" s="52">
        <v>87357.27</v>
      </c>
      <c r="AR241" s="51">
        <v>87357.27</v>
      </c>
      <c r="AS241" s="51">
        <f t="shared" si="52"/>
        <v>0</v>
      </c>
      <c r="AT241" s="126">
        <f t="shared" si="65"/>
        <v>0</v>
      </c>
      <c r="AU241" s="109"/>
      <c r="AV241" s="67"/>
      <c r="AW241" s="4"/>
      <c r="AX241" s="4"/>
      <c r="AY241" s="4"/>
      <c r="AZ241" s="4"/>
      <c r="BA241" s="4"/>
      <c r="BB241" s="4"/>
    </row>
    <row r="242" spans="1:54" ht="24.75" hidden="1" x14ac:dyDescent="0.2">
      <c r="A242" s="32">
        <v>636</v>
      </c>
      <c r="B242" s="94" t="s">
        <v>1163</v>
      </c>
      <c r="C242" s="119" t="s">
        <v>1164</v>
      </c>
      <c r="D242" s="107">
        <v>488</v>
      </c>
      <c r="E242" s="258"/>
      <c r="F242" s="160"/>
      <c r="G242" s="160"/>
      <c r="H242" s="67" t="s">
        <v>60</v>
      </c>
      <c r="I242" s="158">
        <v>6211</v>
      </c>
      <c r="J242" s="107">
        <v>2</v>
      </c>
      <c r="K242" s="39">
        <v>2</v>
      </c>
      <c r="L242" s="157" t="s">
        <v>61</v>
      </c>
      <c r="M242" s="153" t="s">
        <v>1123</v>
      </c>
      <c r="N242" s="42" t="s">
        <v>76</v>
      </c>
      <c r="O242" s="117" t="s">
        <v>88</v>
      </c>
      <c r="P242" s="48" t="s">
        <v>334</v>
      </c>
      <c r="Q242" s="67" t="s">
        <v>1167</v>
      </c>
      <c r="R242" s="254"/>
      <c r="S242" s="52">
        <f t="shared" si="59"/>
        <v>338533.12</v>
      </c>
      <c r="T242" s="52">
        <v>338533.12</v>
      </c>
      <c r="U242" s="52">
        <v>0</v>
      </c>
      <c r="V242" s="67" t="s">
        <v>1129</v>
      </c>
      <c r="W242" s="143" t="s">
        <v>1130</v>
      </c>
      <c r="X242" s="109"/>
      <c r="Y242" s="109" t="s">
        <v>234</v>
      </c>
      <c r="Z242" s="155"/>
      <c r="AA242" s="155"/>
      <c r="AB242" s="155">
        <f t="shared" si="53"/>
        <v>0</v>
      </c>
      <c r="AC242" s="109"/>
      <c r="AD242" s="154"/>
      <c r="AE242" s="51">
        <f t="shared" si="60"/>
        <v>0</v>
      </c>
      <c r="AF242" s="52">
        <f t="shared" si="61"/>
        <v>751.71000000002095</v>
      </c>
      <c r="AG242" s="52">
        <v>337781.41</v>
      </c>
      <c r="AH242" s="52">
        <f>101334.42+236446.99</f>
        <v>337781.41</v>
      </c>
      <c r="AI242" s="52">
        <f t="shared" si="64"/>
        <v>0</v>
      </c>
      <c r="AJ242" s="156">
        <v>0</v>
      </c>
      <c r="AK242" s="155">
        <v>0</v>
      </c>
      <c r="AL242" s="52">
        <f t="shared" si="54"/>
        <v>0</v>
      </c>
      <c r="AM242" s="52">
        <f t="shared" si="63"/>
        <v>337781.41</v>
      </c>
      <c r="AN242" s="51">
        <f t="shared" si="50"/>
        <v>337781.41</v>
      </c>
      <c r="AO242" s="51">
        <f t="shared" si="56"/>
        <v>0</v>
      </c>
      <c r="AP242" s="125" t="s">
        <v>333</v>
      </c>
      <c r="AQ242" s="52">
        <v>87357.26</v>
      </c>
      <c r="AR242" s="51">
        <v>87357.26</v>
      </c>
      <c r="AS242" s="51">
        <f t="shared" si="52"/>
        <v>0</v>
      </c>
      <c r="AT242" s="126">
        <f t="shared" si="65"/>
        <v>751.71000000002095</v>
      </c>
      <c r="AU242" s="109"/>
      <c r="AV242" s="67"/>
      <c r="AW242" s="4"/>
      <c r="AX242" s="4"/>
      <c r="AY242" s="4"/>
      <c r="AZ242" s="4"/>
      <c r="BA242" s="4"/>
      <c r="BB242" s="4"/>
    </row>
    <row r="243" spans="1:54" ht="33" hidden="1" x14ac:dyDescent="0.2">
      <c r="A243" s="32">
        <v>636</v>
      </c>
      <c r="B243" s="94" t="s">
        <v>1169</v>
      </c>
      <c r="C243" s="119" t="s">
        <v>1170</v>
      </c>
      <c r="D243" s="107">
        <v>477</v>
      </c>
      <c r="E243" s="256" t="s">
        <v>1171</v>
      </c>
      <c r="F243" s="159">
        <v>4488</v>
      </c>
      <c r="G243" s="159"/>
      <c r="H243" s="67" t="s">
        <v>1166</v>
      </c>
      <c r="I243" s="158">
        <v>6211</v>
      </c>
      <c r="J243" s="107">
        <v>2</v>
      </c>
      <c r="K243" s="39">
        <v>6</v>
      </c>
      <c r="L243" s="152" t="s">
        <v>1122</v>
      </c>
      <c r="M243" s="153" t="s">
        <v>1123</v>
      </c>
      <c r="N243" s="42" t="s">
        <v>76</v>
      </c>
      <c r="O243" s="117" t="s">
        <v>88</v>
      </c>
      <c r="P243" s="67" t="s">
        <v>89</v>
      </c>
      <c r="Q243" s="67" t="s">
        <v>616</v>
      </c>
      <c r="R243" s="254"/>
      <c r="S243" s="52">
        <f t="shared" si="59"/>
        <v>337781.42</v>
      </c>
      <c r="T243" s="52">
        <f>338533.13-751.71</f>
        <v>337781.42</v>
      </c>
      <c r="U243" s="52">
        <v>0</v>
      </c>
      <c r="V243" s="109" t="s">
        <v>1125</v>
      </c>
      <c r="W243" s="154">
        <v>41929</v>
      </c>
      <c r="X243" s="109"/>
      <c r="Y243" s="109" t="s">
        <v>234</v>
      </c>
      <c r="Z243" s="155"/>
      <c r="AA243" s="155"/>
      <c r="AB243" s="155">
        <f t="shared" si="53"/>
        <v>0</v>
      </c>
      <c r="AC243" s="109"/>
      <c r="AD243" s="154"/>
      <c r="AE243" s="51">
        <f t="shared" si="60"/>
        <v>0</v>
      </c>
      <c r="AF243" s="52">
        <f t="shared" si="61"/>
        <v>0</v>
      </c>
      <c r="AG243" s="52">
        <v>337781.42</v>
      </c>
      <c r="AH243" s="52">
        <f>101334.43+236446.99</f>
        <v>337781.42</v>
      </c>
      <c r="AI243" s="52">
        <f t="shared" si="64"/>
        <v>0</v>
      </c>
      <c r="AJ243" s="156">
        <v>0</v>
      </c>
      <c r="AK243" s="155">
        <v>0</v>
      </c>
      <c r="AL243" s="52">
        <f t="shared" si="54"/>
        <v>0</v>
      </c>
      <c r="AM243" s="52">
        <f t="shared" si="63"/>
        <v>337781.42</v>
      </c>
      <c r="AN243" s="51">
        <f t="shared" si="50"/>
        <v>337781.42</v>
      </c>
      <c r="AO243" s="51">
        <f t="shared" si="56"/>
        <v>0</v>
      </c>
      <c r="AP243" s="125" t="s">
        <v>333</v>
      </c>
      <c r="AQ243" s="52">
        <v>87357.27</v>
      </c>
      <c r="AR243" s="51">
        <v>87357.27</v>
      </c>
      <c r="AS243" s="51">
        <f t="shared" si="52"/>
        <v>0</v>
      </c>
      <c r="AT243" s="126">
        <f t="shared" si="65"/>
        <v>0</v>
      </c>
      <c r="AU243" s="109"/>
      <c r="AV243" s="67"/>
      <c r="AW243" s="4"/>
      <c r="AX243" s="4"/>
      <c r="AY243" s="4"/>
      <c r="AZ243" s="4"/>
      <c r="BA243" s="4"/>
      <c r="BB243" s="4"/>
    </row>
    <row r="244" spans="1:54" ht="24.75" hidden="1" x14ac:dyDescent="0.2">
      <c r="A244" s="32">
        <v>636</v>
      </c>
      <c r="B244" s="94" t="s">
        <v>1169</v>
      </c>
      <c r="C244" s="119" t="s">
        <v>1170</v>
      </c>
      <c r="D244" s="107">
        <v>478</v>
      </c>
      <c r="E244" s="258"/>
      <c r="F244" s="160"/>
      <c r="G244" s="160"/>
      <c r="H244" s="67" t="s">
        <v>60</v>
      </c>
      <c r="I244" s="158">
        <v>6211</v>
      </c>
      <c r="J244" s="107">
        <v>2</v>
      </c>
      <c r="K244" s="39">
        <v>2</v>
      </c>
      <c r="L244" s="157" t="s">
        <v>61</v>
      </c>
      <c r="M244" s="153" t="s">
        <v>1123</v>
      </c>
      <c r="N244" s="42" t="s">
        <v>76</v>
      </c>
      <c r="O244" s="117" t="s">
        <v>88</v>
      </c>
      <c r="P244" s="67" t="s">
        <v>89</v>
      </c>
      <c r="Q244" s="67" t="s">
        <v>616</v>
      </c>
      <c r="R244" s="254"/>
      <c r="S244" s="52">
        <f t="shared" si="59"/>
        <v>338533.12</v>
      </c>
      <c r="T244" s="52">
        <v>338533.12</v>
      </c>
      <c r="U244" s="52">
        <v>0</v>
      </c>
      <c r="V244" s="67" t="s">
        <v>1129</v>
      </c>
      <c r="W244" s="143" t="s">
        <v>1130</v>
      </c>
      <c r="X244" s="109"/>
      <c r="Y244" s="109" t="s">
        <v>234</v>
      </c>
      <c r="Z244" s="155"/>
      <c r="AA244" s="155"/>
      <c r="AB244" s="155">
        <f t="shared" si="53"/>
        <v>0</v>
      </c>
      <c r="AC244" s="109"/>
      <c r="AD244" s="154"/>
      <c r="AE244" s="51">
        <f t="shared" si="60"/>
        <v>0</v>
      </c>
      <c r="AF244" s="52">
        <f t="shared" si="61"/>
        <v>751.71000000002095</v>
      </c>
      <c r="AG244" s="52">
        <v>337781.41</v>
      </c>
      <c r="AH244" s="52">
        <f>101334.42+236446.99</f>
        <v>337781.41</v>
      </c>
      <c r="AI244" s="52">
        <f t="shared" si="64"/>
        <v>0</v>
      </c>
      <c r="AJ244" s="156">
        <v>0</v>
      </c>
      <c r="AK244" s="155">
        <v>0</v>
      </c>
      <c r="AL244" s="52">
        <f t="shared" si="54"/>
        <v>0</v>
      </c>
      <c r="AM244" s="52">
        <f t="shared" si="63"/>
        <v>337781.41</v>
      </c>
      <c r="AN244" s="51">
        <f t="shared" si="50"/>
        <v>337781.41</v>
      </c>
      <c r="AO244" s="51">
        <f t="shared" si="56"/>
        <v>0</v>
      </c>
      <c r="AP244" s="125" t="s">
        <v>333</v>
      </c>
      <c r="AQ244" s="52">
        <v>87357.26</v>
      </c>
      <c r="AR244" s="51">
        <v>87357.26</v>
      </c>
      <c r="AS244" s="51">
        <f t="shared" si="52"/>
        <v>0</v>
      </c>
      <c r="AT244" s="126">
        <f t="shared" si="65"/>
        <v>751.71000000002095</v>
      </c>
      <c r="AU244" s="109"/>
      <c r="AV244" s="67"/>
      <c r="AW244" s="4"/>
      <c r="AX244" s="4"/>
      <c r="AY244" s="4"/>
      <c r="AZ244" s="4"/>
      <c r="BA244" s="4"/>
      <c r="BB244" s="4"/>
    </row>
    <row r="245" spans="1:54" ht="20.25" hidden="1" customHeight="1" x14ac:dyDescent="0.2">
      <c r="A245" s="32">
        <v>636</v>
      </c>
      <c r="B245" s="94" t="s">
        <v>1172</v>
      </c>
      <c r="C245" s="119" t="s">
        <v>1173</v>
      </c>
      <c r="D245" s="107">
        <v>498</v>
      </c>
      <c r="E245" s="256" t="s">
        <v>1171</v>
      </c>
      <c r="F245" s="159">
        <v>4488</v>
      </c>
      <c r="G245" s="159"/>
      <c r="H245" s="67" t="s">
        <v>1166</v>
      </c>
      <c r="I245" s="158">
        <v>6211</v>
      </c>
      <c r="J245" s="107">
        <v>2</v>
      </c>
      <c r="K245" s="39">
        <v>6</v>
      </c>
      <c r="L245" s="152" t="s">
        <v>1122</v>
      </c>
      <c r="M245" s="153" t="s">
        <v>1123</v>
      </c>
      <c r="N245" s="42" t="s">
        <v>76</v>
      </c>
      <c r="O245" s="117" t="s">
        <v>88</v>
      </c>
      <c r="P245" s="67" t="s">
        <v>821</v>
      </c>
      <c r="Q245" s="67" t="s">
        <v>979</v>
      </c>
      <c r="R245" s="254"/>
      <c r="S245" s="52">
        <f t="shared" si="59"/>
        <v>337781.42</v>
      </c>
      <c r="T245" s="52">
        <f>338533.13-751.71</f>
        <v>337781.42</v>
      </c>
      <c r="U245" s="52">
        <v>0</v>
      </c>
      <c r="V245" s="109" t="s">
        <v>1125</v>
      </c>
      <c r="W245" s="154">
        <v>41929</v>
      </c>
      <c r="X245" s="109"/>
      <c r="Y245" s="109" t="s">
        <v>234</v>
      </c>
      <c r="Z245" s="155"/>
      <c r="AA245" s="155"/>
      <c r="AB245" s="155">
        <f t="shared" si="53"/>
        <v>0</v>
      </c>
      <c r="AC245" s="109"/>
      <c r="AD245" s="154"/>
      <c r="AE245" s="51">
        <f t="shared" si="60"/>
        <v>0</v>
      </c>
      <c r="AF245" s="52">
        <f t="shared" si="61"/>
        <v>0</v>
      </c>
      <c r="AG245" s="52">
        <v>337781.42</v>
      </c>
      <c r="AH245" s="52">
        <f>101334.43+236446.99</f>
        <v>337781.42</v>
      </c>
      <c r="AI245" s="52">
        <f t="shared" si="64"/>
        <v>0</v>
      </c>
      <c r="AJ245" s="156">
        <v>0</v>
      </c>
      <c r="AK245" s="155">
        <v>0</v>
      </c>
      <c r="AL245" s="52">
        <f t="shared" si="54"/>
        <v>0</v>
      </c>
      <c r="AM245" s="52">
        <f t="shared" si="63"/>
        <v>337781.42</v>
      </c>
      <c r="AN245" s="51">
        <f t="shared" si="50"/>
        <v>337781.42</v>
      </c>
      <c r="AO245" s="51">
        <f t="shared" si="56"/>
        <v>0</v>
      </c>
      <c r="AP245" s="125" t="s">
        <v>333</v>
      </c>
      <c r="AQ245" s="52">
        <v>87357.27</v>
      </c>
      <c r="AR245" s="51">
        <v>87357.27</v>
      </c>
      <c r="AS245" s="51">
        <f t="shared" si="52"/>
        <v>0</v>
      </c>
      <c r="AT245" s="126">
        <f t="shared" si="65"/>
        <v>0</v>
      </c>
      <c r="AU245" s="109"/>
      <c r="AV245" s="67"/>
      <c r="AW245" s="4"/>
      <c r="AX245" s="4"/>
      <c r="AY245" s="4"/>
      <c r="AZ245" s="4"/>
      <c r="BA245" s="4"/>
      <c r="BB245" s="4"/>
    </row>
    <row r="246" spans="1:54" ht="20.25" hidden="1" customHeight="1" x14ac:dyDescent="0.2">
      <c r="A246" s="32">
        <v>636</v>
      </c>
      <c r="B246" s="94" t="s">
        <v>1172</v>
      </c>
      <c r="C246" s="119" t="s">
        <v>1173</v>
      </c>
      <c r="D246" s="107">
        <v>498</v>
      </c>
      <c r="E246" s="258"/>
      <c r="F246" s="160"/>
      <c r="G246" s="160"/>
      <c r="H246" s="67" t="s">
        <v>60</v>
      </c>
      <c r="I246" s="158">
        <v>6211</v>
      </c>
      <c r="J246" s="107">
        <v>2</v>
      </c>
      <c r="K246" s="39">
        <v>2</v>
      </c>
      <c r="L246" s="157" t="s">
        <v>61</v>
      </c>
      <c r="M246" s="153" t="s">
        <v>1123</v>
      </c>
      <c r="N246" s="42" t="s">
        <v>76</v>
      </c>
      <c r="O246" s="117" t="s">
        <v>88</v>
      </c>
      <c r="P246" s="67" t="s">
        <v>821</v>
      </c>
      <c r="Q246" s="67" t="s">
        <v>979</v>
      </c>
      <c r="R246" s="255"/>
      <c r="S246" s="52">
        <f t="shared" si="59"/>
        <v>338533.12</v>
      </c>
      <c r="T246" s="52">
        <v>338533.12</v>
      </c>
      <c r="U246" s="52">
        <v>0</v>
      </c>
      <c r="V246" s="67" t="s">
        <v>1129</v>
      </c>
      <c r="W246" s="143" t="s">
        <v>1130</v>
      </c>
      <c r="X246" s="109"/>
      <c r="Y246" s="109" t="s">
        <v>234</v>
      </c>
      <c r="Z246" s="155"/>
      <c r="AA246" s="155"/>
      <c r="AB246" s="155">
        <f t="shared" si="53"/>
        <v>0</v>
      </c>
      <c r="AC246" s="109"/>
      <c r="AD246" s="154"/>
      <c r="AE246" s="51">
        <f t="shared" si="60"/>
        <v>0</v>
      </c>
      <c r="AF246" s="52">
        <f t="shared" si="61"/>
        <v>751.71000000002095</v>
      </c>
      <c r="AG246" s="52">
        <v>337781.41</v>
      </c>
      <c r="AH246" s="52">
        <f>101334.42+236446.99</f>
        <v>337781.41</v>
      </c>
      <c r="AI246" s="52">
        <f t="shared" si="64"/>
        <v>0</v>
      </c>
      <c r="AJ246" s="156">
        <v>0</v>
      </c>
      <c r="AK246" s="155">
        <v>0</v>
      </c>
      <c r="AL246" s="52">
        <f t="shared" si="54"/>
        <v>0</v>
      </c>
      <c r="AM246" s="52">
        <f t="shared" si="63"/>
        <v>337781.41</v>
      </c>
      <c r="AN246" s="51">
        <f t="shared" si="50"/>
        <v>337781.41</v>
      </c>
      <c r="AO246" s="51">
        <f t="shared" si="56"/>
        <v>0</v>
      </c>
      <c r="AP246" s="125" t="s">
        <v>333</v>
      </c>
      <c r="AQ246" s="52">
        <v>87357.26</v>
      </c>
      <c r="AR246" s="51">
        <v>87357.26</v>
      </c>
      <c r="AS246" s="51">
        <f t="shared" si="52"/>
        <v>0</v>
      </c>
      <c r="AT246" s="126">
        <f t="shared" si="65"/>
        <v>751.71000000002095</v>
      </c>
      <c r="AU246" s="109"/>
      <c r="AV246" s="67"/>
      <c r="AW246" s="4"/>
      <c r="AX246" s="4"/>
      <c r="AY246" s="4"/>
      <c r="AZ246" s="4"/>
      <c r="BA246" s="4"/>
      <c r="BB246" s="4"/>
    </row>
    <row r="247" spans="1:54" ht="33" hidden="1" x14ac:dyDescent="0.2">
      <c r="A247" s="32">
        <v>636</v>
      </c>
      <c r="B247" s="94" t="s">
        <v>1174</v>
      </c>
      <c r="C247" s="119" t="s">
        <v>1175</v>
      </c>
      <c r="D247" s="107">
        <v>511</v>
      </c>
      <c r="E247" s="256" t="s">
        <v>1176</v>
      </c>
      <c r="F247" s="159">
        <v>2478</v>
      </c>
      <c r="G247" s="159"/>
      <c r="H247" s="67" t="s">
        <v>1166</v>
      </c>
      <c r="I247" s="158">
        <v>6211</v>
      </c>
      <c r="J247" s="107">
        <v>2</v>
      </c>
      <c r="K247" s="39">
        <v>6</v>
      </c>
      <c r="L247" s="152" t="s">
        <v>1122</v>
      </c>
      <c r="M247" s="153" t="s">
        <v>1123</v>
      </c>
      <c r="N247" s="42" t="s">
        <v>76</v>
      </c>
      <c r="O247" s="117" t="s">
        <v>88</v>
      </c>
      <c r="P247" s="67" t="s">
        <v>299</v>
      </c>
      <c r="Q247" s="67" t="s">
        <v>1177</v>
      </c>
      <c r="R247" s="253" t="s">
        <v>1178</v>
      </c>
      <c r="S247" s="52">
        <f t="shared" si="59"/>
        <v>674604.09</v>
      </c>
      <c r="T247" s="52">
        <f>677066.25-2462.16</f>
        <v>674604.09</v>
      </c>
      <c r="U247" s="52">
        <v>0</v>
      </c>
      <c r="V247" s="109" t="s">
        <v>1125</v>
      </c>
      <c r="W247" s="154">
        <v>41929</v>
      </c>
      <c r="X247" s="109"/>
      <c r="Y247" s="109" t="s">
        <v>234</v>
      </c>
      <c r="Z247" s="155"/>
      <c r="AA247" s="155"/>
      <c r="AB247" s="155">
        <f t="shared" si="53"/>
        <v>0</v>
      </c>
      <c r="AC247" s="109"/>
      <c r="AD247" s="154"/>
      <c r="AE247" s="51">
        <f t="shared" si="60"/>
        <v>0</v>
      </c>
      <c r="AF247" s="52">
        <f t="shared" si="61"/>
        <v>0</v>
      </c>
      <c r="AG247" s="52">
        <v>674604.09</v>
      </c>
      <c r="AH247" s="52">
        <f>202381.23+472222.86</f>
        <v>674604.09</v>
      </c>
      <c r="AI247" s="52">
        <f t="shared" si="64"/>
        <v>0</v>
      </c>
      <c r="AJ247" s="156">
        <v>0</v>
      </c>
      <c r="AK247" s="155">
        <v>0</v>
      </c>
      <c r="AL247" s="52">
        <f t="shared" si="54"/>
        <v>0</v>
      </c>
      <c r="AM247" s="52">
        <f t="shared" si="63"/>
        <v>674604.09</v>
      </c>
      <c r="AN247" s="51">
        <f t="shared" si="50"/>
        <v>674604.09</v>
      </c>
      <c r="AO247" s="51">
        <f t="shared" si="56"/>
        <v>0</v>
      </c>
      <c r="AP247" s="125"/>
      <c r="AQ247" s="52">
        <v>174466.58</v>
      </c>
      <c r="AR247" s="51">
        <v>174466.58</v>
      </c>
      <c r="AS247" s="51">
        <f t="shared" si="52"/>
        <v>0</v>
      </c>
      <c r="AT247" s="126">
        <f t="shared" si="65"/>
        <v>0</v>
      </c>
      <c r="AU247" s="109"/>
      <c r="AV247" s="67"/>
      <c r="AW247" s="4"/>
      <c r="AX247" s="4"/>
      <c r="AY247" s="4"/>
      <c r="AZ247" s="4"/>
      <c r="BA247" s="4"/>
      <c r="BB247" s="4"/>
    </row>
    <row r="248" spans="1:54" ht="24.75" hidden="1" x14ac:dyDescent="0.2">
      <c r="A248" s="32">
        <v>636</v>
      </c>
      <c r="B248" s="94" t="s">
        <v>1174</v>
      </c>
      <c r="C248" s="119" t="s">
        <v>1175</v>
      </c>
      <c r="D248" s="107">
        <v>512</v>
      </c>
      <c r="E248" s="258"/>
      <c r="F248" s="160"/>
      <c r="G248" s="160"/>
      <c r="H248" s="67" t="s">
        <v>60</v>
      </c>
      <c r="I248" s="158">
        <v>6211</v>
      </c>
      <c r="J248" s="107">
        <v>2</v>
      </c>
      <c r="K248" s="39">
        <v>2</v>
      </c>
      <c r="L248" s="157" t="s">
        <v>61</v>
      </c>
      <c r="M248" s="153" t="s">
        <v>1123</v>
      </c>
      <c r="N248" s="42" t="s">
        <v>76</v>
      </c>
      <c r="O248" s="117" t="s">
        <v>88</v>
      </c>
      <c r="P248" s="67" t="s">
        <v>299</v>
      </c>
      <c r="Q248" s="67" t="s">
        <v>1177</v>
      </c>
      <c r="R248" s="254"/>
      <c r="S248" s="52">
        <f t="shared" si="59"/>
        <v>677066.25</v>
      </c>
      <c r="T248" s="52">
        <v>677066.25</v>
      </c>
      <c r="U248" s="52">
        <v>0</v>
      </c>
      <c r="V248" s="67" t="s">
        <v>1129</v>
      </c>
      <c r="W248" s="143" t="s">
        <v>1130</v>
      </c>
      <c r="X248" s="109"/>
      <c r="Y248" s="109" t="s">
        <v>234</v>
      </c>
      <c r="Z248" s="155"/>
      <c r="AA248" s="155"/>
      <c r="AB248" s="155">
        <f t="shared" si="53"/>
        <v>0</v>
      </c>
      <c r="AC248" s="109"/>
      <c r="AD248" s="154"/>
      <c r="AE248" s="51">
        <f t="shared" si="60"/>
        <v>0</v>
      </c>
      <c r="AF248" s="52">
        <f t="shared" si="61"/>
        <v>2462.1600000000326</v>
      </c>
      <c r="AG248" s="52">
        <v>674604.09</v>
      </c>
      <c r="AH248" s="52">
        <f>202381.22+472222.87</f>
        <v>674604.09</v>
      </c>
      <c r="AI248" s="52">
        <f t="shared" si="64"/>
        <v>0</v>
      </c>
      <c r="AJ248" s="156">
        <v>0</v>
      </c>
      <c r="AK248" s="155">
        <v>0</v>
      </c>
      <c r="AL248" s="52">
        <f t="shared" si="54"/>
        <v>0</v>
      </c>
      <c r="AM248" s="52">
        <f t="shared" si="63"/>
        <v>674604.09</v>
      </c>
      <c r="AN248" s="51">
        <f t="shared" si="50"/>
        <v>674604.09</v>
      </c>
      <c r="AO248" s="51">
        <f t="shared" si="56"/>
        <v>0</v>
      </c>
      <c r="AP248" s="125"/>
      <c r="AQ248" s="52">
        <v>174466.57</v>
      </c>
      <c r="AR248" s="51">
        <v>174466.57</v>
      </c>
      <c r="AS248" s="51">
        <f t="shared" si="52"/>
        <v>0</v>
      </c>
      <c r="AT248" s="126">
        <f t="shared" si="65"/>
        <v>2462.1600000000326</v>
      </c>
      <c r="AU248" s="109"/>
      <c r="AV248" s="67"/>
      <c r="AW248" s="4"/>
      <c r="AX248" s="4"/>
      <c r="AY248" s="4"/>
      <c r="AZ248" s="4"/>
      <c r="BA248" s="4"/>
      <c r="BB248" s="4"/>
    </row>
    <row r="249" spans="1:54" ht="33" hidden="1" x14ac:dyDescent="0.2">
      <c r="A249" s="32">
        <v>636</v>
      </c>
      <c r="B249" s="94" t="s">
        <v>1179</v>
      </c>
      <c r="C249" s="107" t="s">
        <v>1180</v>
      </c>
      <c r="D249" s="107">
        <v>501</v>
      </c>
      <c r="E249" s="256" t="s">
        <v>1181</v>
      </c>
      <c r="F249" s="159">
        <v>4488</v>
      </c>
      <c r="G249" s="159"/>
      <c r="H249" s="67" t="s">
        <v>1166</v>
      </c>
      <c r="I249" s="158">
        <v>6211</v>
      </c>
      <c r="J249" s="107">
        <v>2</v>
      </c>
      <c r="K249" s="39">
        <v>6</v>
      </c>
      <c r="L249" s="152" t="s">
        <v>1122</v>
      </c>
      <c r="M249" s="153" t="s">
        <v>1123</v>
      </c>
      <c r="N249" s="42" t="s">
        <v>76</v>
      </c>
      <c r="O249" s="117" t="s">
        <v>88</v>
      </c>
      <c r="P249" s="67" t="s">
        <v>1182</v>
      </c>
      <c r="Q249" s="67" t="s">
        <v>979</v>
      </c>
      <c r="R249" s="254"/>
      <c r="S249" s="52">
        <f t="shared" si="59"/>
        <v>449736.06</v>
      </c>
      <c r="T249" s="52">
        <f>451377.5-1641.44</f>
        <v>449736.06</v>
      </c>
      <c r="U249" s="52">
        <v>0</v>
      </c>
      <c r="V249" s="109" t="s">
        <v>1125</v>
      </c>
      <c r="W249" s="154">
        <v>41929</v>
      </c>
      <c r="X249" s="109"/>
      <c r="Y249" s="109" t="s">
        <v>234</v>
      </c>
      <c r="Z249" s="155"/>
      <c r="AA249" s="155"/>
      <c r="AB249" s="155">
        <f t="shared" si="53"/>
        <v>0</v>
      </c>
      <c r="AC249" s="109"/>
      <c r="AD249" s="154"/>
      <c r="AE249" s="51">
        <f t="shared" si="60"/>
        <v>0</v>
      </c>
      <c r="AF249" s="52">
        <f t="shared" si="61"/>
        <v>0</v>
      </c>
      <c r="AG249" s="52">
        <v>449736.06</v>
      </c>
      <c r="AH249" s="52">
        <f>134920.82+314815.24</f>
        <v>449736.06</v>
      </c>
      <c r="AI249" s="52">
        <f t="shared" si="64"/>
        <v>0</v>
      </c>
      <c r="AJ249" s="156">
        <v>0</v>
      </c>
      <c r="AK249" s="155">
        <v>0</v>
      </c>
      <c r="AL249" s="52">
        <f t="shared" si="54"/>
        <v>0</v>
      </c>
      <c r="AM249" s="52">
        <f t="shared" si="63"/>
        <v>449736.06</v>
      </c>
      <c r="AN249" s="51">
        <f t="shared" si="50"/>
        <v>449736.06</v>
      </c>
      <c r="AO249" s="51">
        <f t="shared" si="56"/>
        <v>0</v>
      </c>
      <c r="AP249" s="125"/>
      <c r="AQ249" s="52">
        <v>116311.05</v>
      </c>
      <c r="AR249" s="51">
        <v>116311.05</v>
      </c>
      <c r="AS249" s="51">
        <f t="shared" si="52"/>
        <v>0</v>
      </c>
      <c r="AT249" s="126">
        <f t="shared" si="65"/>
        <v>0</v>
      </c>
      <c r="AU249" s="109"/>
      <c r="AV249" s="67"/>
      <c r="AW249" s="4"/>
      <c r="AX249" s="4"/>
      <c r="AY249" s="4"/>
      <c r="AZ249" s="4"/>
      <c r="BA249" s="4"/>
      <c r="BB249" s="4"/>
    </row>
    <row r="250" spans="1:54" ht="24.75" hidden="1" x14ac:dyDescent="0.2">
      <c r="A250" s="32">
        <v>636</v>
      </c>
      <c r="B250" s="94" t="s">
        <v>1179</v>
      </c>
      <c r="C250" s="107" t="s">
        <v>1180</v>
      </c>
      <c r="D250" s="107">
        <v>502</v>
      </c>
      <c r="E250" s="258"/>
      <c r="F250" s="160"/>
      <c r="G250" s="160"/>
      <c r="H250" s="67" t="s">
        <v>60</v>
      </c>
      <c r="I250" s="158">
        <v>6211</v>
      </c>
      <c r="J250" s="107">
        <v>2</v>
      </c>
      <c r="K250" s="39">
        <v>2</v>
      </c>
      <c r="L250" s="157" t="s">
        <v>61</v>
      </c>
      <c r="M250" s="153" t="s">
        <v>1123</v>
      </c>
      <c r="N250" s="42" t="s">
        <v>76</v>
      </c>
      <c r="O250" s="117" t="s">
        <v>88</v>
      </c>
      <c r="P250" s="67" t="s">
        <v>1182</v>
      </c>
      <c r="Q250" s="67" t="s">
        <v>979</v>
      </c>
      <c r="R250" s="255"/>
      <c r="S250" s="52">
        <f t="shared" si="59"/>
        <v>451377.5</v>
      </c>
      <c r="T250" s="52">
        <v>451377.5</v>
      </c>
      <c r="U250" s="52">
        <v>0</v>
      </c>
      <c r="V250" s="67" t="s">
        <v>1129</v>
      </c>
      <c r="W250" s="143" t="s">
        <v>1130</v>
      </c>
      <c r="X250" s="109"/>
      <c r="Y250" s="109" t="s">
        <v>234</v>
      </c>
      <c r="Z250" s="155"/>
      <c r="AA250" s="155"/>
      <c r="AB250" s="155">
        <f t="shared" si="53"/>
        <v>0</v>
      </c>
      <c r="AC250" s="109"/>
      <c r="AD250" s="154"/>
      <c r="AE250" s="51">
        <f t="shared" si="60"/>
        <v>0</v>
      </c>
      <c r="AF250" s="52">
        <f t="shared" si="61"/>
        <v>1641.4400000000023</v>
      </c>
      <c r="AG250" s="52">
        <v>449736.06</v>
      </c>
      <c r="AH250" s="52">
        <f>134920.82+314815.24</f>
        <v>449736.06</v>
      </c>
      <c r="AI250" s="52">
        <f t="shared" si="64"/>
        <v>0</v>
      </c>
      <c r="AJ250" s="156">
        <v>0</v>
      </c>
      <c r="AK250" s="155">
        <v>0</v>
      </c>
      <c r="AL250" s="52">
        <f t="shared" si="54"/>
        <v>0</v>
      </c>
      <c r="AM250" s="52">
        <f t="shared" si="63"/>
        <v>449736.06</v>
      </c>
      <c r="AN250" s="51">
        <f t="shared" si="50"/>
        <v>449736.06</v>
      </c>
      <c r="AO250" s="51">
        <f t="shared" si="56"/>
        <v>0</v>
      </c>
      <c r="AP250" s="125"/>
      <c r="AQ250" s="52">
        <v>116311.05</v>
      </c>
      <c r="AR250" s="51">
        <v>116311.05</v>
      </c>
      <c r="AS250" s="51">
        <f t="shared" si="52"/>
        <v>0</v>
      </c>
      <c r="AT250" s="126">
        <f t="shared" si="65"/>
        <v>1641.4400000000023</v>
      </c>
      <c r="AU250" s="109"/>
      <c r="AV250" s="67"/>
      <c r="AW250" s="4"/>
      <c r="AX250" s="4"/>
      <c r="AY250" s="4"/>
      <c r="AZ250" s="4"/>
      <c r="BA250" s="4"/>
      <c r="BB250" s="4"/>
    </row>
    <row r="251" spans="1:54" ht="33" hidden="1" x14ac:dyDescent="0.2">
      <c r="A251" s="32">
        <v>636</v>
      </c>
      <c r="B251" s="94" t="s">
        <v>1183</v>
      </c>
      <c r="C251" s="119" t="s">
        <v>1184</v>
      </c>
      <c r="D251" s="107">
        <v>509</v>
      </c>
      <c r="E251" s="256" t="s">
        <v>1185</v>
      </c>
      <c r="F251" s="159">
        <v>4488</v>
      </c>
      <c r="G251" s="159"/>
      <c r="H251" s="67" t="s">
        <v>1166</v>
      </c>
      <c r="I251" s="158">
        <v>6211</v>
      </c>
      <c r="J251" s="107">
        <v>2</v>
      </c>
      <c r="K251" s="39">
        <v>6</v>
      </c>
      <c r="L251" s="152" t="s">
        <v>1122</v>
      </c>
      <c r="M251" s="153" t="s">
        <v>1123</v>
      </c>
      <c r="N251" s="42" t="s">
        <v>76</v>
      </c>
      <c r="O251" s="117" t="s">
        <v>88</v>
      </c>
      <c r="P251" s="67" t="s">
        <v>65</v>
      </c>
      <c r="Q251" s="67" t="s">
        <v>979</v>
      </c>
      <c r="R251" s="253" t="s">
        <v>1186</v>
      </c>
      <c r="S251" s="52">
        <f t="shared" si="59"/>
        <v>1351249.2</v>
      </c>
      <c r="T251" s="52">
        <f>1354132.5-2883.3</f>
        <v>1351249.2</v>
      </c>
      <c r="U251" s="52">
        <v>0</v>
      </c>
      <c r="V251" s="109" t="s">
        <v>1125</v>
      </c>
      <c r="W251" s="154">
        <v>41929</v>
      </c>
      <c r="X251" s="109"/>
      <c r="Y251" s="109" t="s">
        <v>234</v>
      </c>
      <c r="Z251" s="155"/>
      <c r="AA251" s="155"/>
      <c r="AB251" s="155">
        <f t="shared" si="53"/>
        <v>0</v>
      </c>
      <c r="AC251" s="109"/>
      <c r="AD251" s="154"/>
      <c r="AE251" s="51">
        <f t="shared" si="60"/>
        <v>0</v>
      </c>
      <c r="AF251" s="52">
        <f t="shared" si="61"/>
        <v>0</v>
      </c>
      <c r="AG251" s="52">
        <v>1351249.2</v>
      </c>
      <c r="AH251" s="52">
        <f>405374.76+945874.44</f>
        <v>1351249.2</v>
      </c>
      <c r="AI251" s="52">
        <f t="shared" si="64"/>
        <v>0</v>
      </c>
      <c r="AJ251" s="156">
        <v>0</v>
      </c>
      <c r="AK251" s="155">
        <v>0</v>
      </c>
      <c r="AL251" s="52">
        <f t="shared" si="54"/>
        <v>0</v>
      </c>
      <c r="AM251" s="52">
        <f t="shared" si="63"/>
        <v>1351249.2</v>
      </c>
      <c r="AN251" s="51">
        <f t="shared" si="50"/>
        <v>1351249.2</v>
      </c>
      <c r="AO251" s="51">
        <f t="shared" si="56"/>
        <v>0</v>
      </c>
      <c r="AP251" s="125" t="s">
        <v>872</v>
      </c>
      <c r="AQ251" s="52">
        <v>349461</v>
      </c>
      <c r="AR251" s="51">
        <v>349461</v>
      </c>
      <c r="AS251" s="51">
        <f t="shared" si="52"/>
        <v>0</v>
      </c>
      <c r="AT251" s="126">
        <f t="shared" si="65"/>
        <v>0</v>
      </c>
      <c r="AU251" s="109"/>
      <c r="AV251" s="67"/>
      <c r="AW251" s="4"/>
      <c r="AX251" s="4"/>
      <c r="AY251" s="4"/>
      <c r="AZ251" s="4"/>
      <c r="BA251" s="4"/>
      <c r="BB251" s="4"/>
    </row>
    <row r="252" spans="1:54" ht="24.75" hidden="1" x14ac:dyDescent="0.2">
      <c r="A252" s="32">
        <v>636</v>
      </c>
      <c r="B252" s="94" t="s">
        <v>1183</v>
      </c>
      <c r="C252" s="107" t="s">
        <v>1184</v>
      </c>
      <c r="D252" s="107">
        <v>510</v>
      </c>
      <c r="E252" s="258"/>
      <c r="F252" s="160"/>
      <c r="G252" s="160"/>
      <c r="H252" s="67" t="s">
        <v>60</v>
      </c>
      <c r="I252" s="158">
        <v>6211</v>
      </c>
      <c r="J252" s="107">
        <v>2</v>
      </c>
      <c r="K252" s="39">
        <v>2</v>
      </c>
      <c r="L252" s="157" t="s">
        <v>61</v>
      </c>
      <c r="M252" s="153" t="s">
        <v>1123</v>
      </c>
      <c r="N252" s="42" t="s">
        <v>76</v>
      </c>
      <c r="O252" s="117" t="s">
        <v>88</v>
      </c>
      <c r="P252" s="67" t="s">
        <v>65</v>
      </c>
      <c r="Q252" s="67" t="s">
        <v>979</v>
      </c>
      <c r="R252" s="255"/>
      <c r="S252" s="52">
        <f t="shared" si="59"/>
        <v>1354132.5</v>
      </c>
      <c r="T252" s="52">
        <v>1354132.5</v>
      </c>
      <c r="U252" s="52">
        <v>0</v>
      </c>
      <c r="V252" s="67" t="s">
        <v>1129</v>
      </c>
      <c r="W252" s="143" t="s">
        <v>1130</v>
      </c>
      <c r="X252" s="109"/>
      <c r="Y252" s="109" t="s">
        <v>234</v>
      </c>
      <c r="Z252" s="155"/>
      <c r="AA252" s="155"/>
      <c r="AB252" s="155">
        <f t="shared" si="53"/>
        <v>0</v>
      </c>
      <c r="AC252" s="109"/>
      <c r="AD252" s="154"/>
      <c r="AE252" s="51">
        <f t="shared" si="60"/>
        <v>0</v>
      </c>
      <c r="AF252" s="52">
        <f t="shared" si="61"/>
        <v>2883.3000000000466</v>
      </c>
      <c r="AG252" s="52">
        <v>1351249.2</v>
      </c>
      <c r="AH252" s="52">
        <f>405374.76+945874.44</f>
        <v>1351249.2</v>
      </c>
      <c r="AI252" s="52">
        <f t="shared" si="64"/>
        <v>0</v>
      </c>
      <c r="AJ252" s="156">
        <v>0</v>
      </c>
      <c r="AK252" s="155">
        <v>0</v>
      </c>
      <c r="AL252" s="52">
        <f t="shared" si="54"/>
        <v>0</v>
      </c>
      <c r="AM252" s="52">
        <f t="shared" si="63"/>
        <v>1351249.2</v>
      </c>
      <c r="AN252" s="51">
        <f t="shared" si="50"/>
        <v>1351249.2</v>
      </c>
      <c r="AO252" s="51">
        <f t="shared" si="56"/>
        <v>0</v>
      </c>
      <c r="AP252" s="125" t="s">
        <v>872</v>
      </c>
      <c r="AQ252" s="52">
        <v>349461</v>
      </c>
      <c r="AR252" s="51">
        <v>349461</v>
      </c>
      <c r="AS252" s="51">
        <f t="shared" si="52"/>
        <v>0</v>
      </c>
      <c r="AT252" s="51">
        <f t="shared" si="65"/>
        <v>2883.3000000000466</v>
      </c>
      <c r="AU252" s="109"/>
      <c r="AV252" s="67"/>
      <c r="AW252" s="4"/>
      <c r="AX252" s="4"/>
      <c r="AY252" s="4"/>
      <c r="AZ252" s="4"/>
      <c r="BA252" s="4"/>
      <c r="BB252" s="4"/>
    </row>
    <row r="253" spans="1:54" ht="29.25" hidden="1" customHeight="1" x14ac:dyDescent="0.2">
      <c r="A253" s="151">
        <v>639</v>
      </c>
      <c r="B253" s="122" t="s">
        <v>1187</v>
      </c>
      <c r="C253" s="116"/>
      <c r="D253" s="107">
        <v>514</v>
      </c>
      <c r="E253" s="36" t="s">
        <v>1188</v>
      </c>
      <c r="F253" s="36"/>
      <c r="G253" s="36"/>
      <c r="H253" s="33" t="s">
        <v>209</v>
      </c>
      <c r="I253" s="107">
        <v>6222</v>
      </c>
      <c r="J253" s="107"/>
      <c r="K253" s="39">
        <v>2.2999999999999998</v>
      </c>
      <c r="L253" s="40" t="s">
        <v>210</v>
      </c>
      <c r="M253" s="147" t="s">
        <v>75</v>
      </c>
      <c r="N253" s="42" t="s">
        <v>76</v>
      </c>
      <c r="O253" s="41" t="s">
        <v>77</v>
      </c>
      <c r="P253" s="46" t="s">
        <v>428</v>
      </c>
      <c r="Q253" s="46" t="s">
        <v>1189</v>
      </c>
      <c r="R253" s="33" t="s">
        <v>1190</v>
      </c>
      <c r="S253" s="45">
        <f t="shared" si="59"/>
        <v>1832800</v>
      </c>
      <c r="T253" s="45">
        <v>1832800</v>
      </c>
      <c r="U253" s="45">
        <v>0</v>
      </c>
      <c r="V253" s="109" t="s">
        <v>1191</v>
      </c>
      <c r="W253" s="63">
        <v>41929</v>
      </c>
      <c r="X253" s="48"/>
      <c r="Y253" s="109" t="s">
        <v>234</v>
      </c>
      <c r="Z253" s="45"/>
      <c r="AA253" s="45"/>
      <c r="AB253" s="45">
        <f t="shared" si="53"/>
        <v>0</v>
      </c>
      <c r="AC253" s="48"/>
      <c r="AD253" s="63"/>
      <c r="AE253" s="51">
        <f t="shared" si="60"/>
        <v>0</v>
      </c>
      <c r="AF253" s="52">
        <f t="shared" si="61"/>
        <v>6180.9799999999814</v>
      </c>
      <c r="AG253" s="52">
        <v>1826619.02</v>
      </c>
      <c r="AH253" s="52">
        <f>547985.71+402620.39+244695.17</f>
        <v>1195301.27</v>
      </c>
      <c r="AI253" s="52">
        <f t="shared" si="64"/>
        <v>631317.75</v>
      </c>
      <c r="AJ253" s="124">
        <v>0</v>
      </c>
      <c r="AK253" s="45">
        <v>0</v>
      </c>
      <c r="AL253" s="52">
        <f t="shared" si="54"/>
        <v>0</v>
      </c>
      <c r="AM253" s="52">
        <f t="shared" si="63"/>
        <v>1826619.02</v>
      </c>
      <c r="AN253" s="51">
        <f t="shared" si="50"/>
        <v>1195301.27</v>
      </c>
      <c r="AO253" s="51">
        <f t="shared" si="56"/>
        <v>631317.75</v>
      </c>
      <c r="AP253" s="125" t="s">
        <v>1192</v>
      </c>
      <c r="AQ253" s="52">
        <v>472401.47</v>
      </c>
      <c r="AR253" s="51">
        <f>148751.37+90404.62</f>
        <v>239155.99</v>
      </c>
      <c r="AS253" s="51">
        <f t="shared" si="52"/>
        <v>233245.47999999998</v>
      </c>
      <c r="AT253" s="51">
        <f t="shared" si="65"/>
        <v>637498.73</v>
      </c>
      <c r="AU253" s="48"/>
      <c r="AV253" s="46"/>
    </row>
    <row r="254" spans="1:54" ht="60.75" hidden="1" customHeight="1" x14ac:dyDescent="0.2">
      <c r="A254" s="151">
        <v>639</v>
      </c>
      <c r="B254" s="122" t="s">
        <v>1193</v>
      </c>
      <c r="C254" s="116"/>
      <c r="D254" s="107">
        <v>515</v>
      </c>
      <c r="E254" s="36" t="s">
        <v>1194</v>
      </c>
      <c r="F254" s="36"/>
      <c r="G254" s="36"/>
      <c r="H254" s="33" t="s">
        <v>209</v>
      </c>
      <c r="I254" s="107">
        <v>6222</v>
      </c>
      <c r="J254" s="107"/>
      <c r="K254" s="39">
        <v>2.2999999999999998</v>
      </c>
      <c r="L254" s="40" t="s">
        <v>210</v>
      </c>
      <c r="M254" s="147" t="s">
        <v>75</v>
      </c>
      <c r="N254" s="42" t="s">
        <v>76</v>
      </c>
      <c r="O254" s="41" t="s">
        <v>77</v>
      </c>
      <c r="P254" s="46" t="s">
        <v>206</v>
      </c>
      <c r="Q254" s="46" t="s">
        <v>1195</v>
      </c>
      <c r="R254" s="33" t="s">
        <v>1196</v>
      </c>
      <c r="S254" s="45">
        <f t="shared" si="59"/>
        <v>1294739</v>
      </c>
      <c r="T254" s="45">
        <v>1294739</v>
      </c>
      <c r="U254" s="45">
        <v>0</v>
      </c>
      <c r="V254" s="109" t="s">
        <v>1191</v>
      </c>
      <c r="W254" s="63">
        <v>41929</v>
      </c>
      <c r="X254" s="48"/>
      <c r="Y254" s="109" t="s">
        <v>234</v>
      </c>
      <c r="Z254" s="45"/>
      <c r="AA254" s="45"/>
      <c r="AB254" s="45">
        <f t="shared" si="53"/>
        <v>0</v>
      </c>
      <c r="AC254" s="48"/>
      <c r="AD254" s="63"/>
      <c r="AE254" s="51">
        <f t="shared" si="60"/>
        <v>0</v>
      </c>
      <c r="AF254" s="52">
        <f t="shared" si="61"/>
        <v>19382.060000000056</v>
      </c>
      <c r="AG254" s="52">
        <v>1275356.94</v>
      </c>
      <c r="AH254" s="52">
        <f>382607.08+732346.22</f>
        <v>1114953.3</v>
      </c>
      <c r="AI254" s="52">
        <f t="shared" si="64"/>
        <v>160403.6399999999</v>
      </c>
      <c r="AJ254" s="124">
        <v>0</v>
      </c>
      <c r="AK254" s="45">
        <v>0</v>
      </c>
      <c r="AL254" s="52">
        <f t="shared" si="54"/>
        <v>0</v>
      </c>
      <c r="AM254" s="52">
        <f t="shared" si="63"/>
        <v>1275356.94</v>
      </c>
      <c r="AN254" s="51">
        <f t="shared" ref="AN254:AN286" si="66">SUM(AA254+AH254)+AK254</f>
        <v>1114953.3</v>
      </c>
      <c r="AO254" s="51">
        <f t="shared" si="56"/>
        <v>160403.6399999999</v>
      </c>
      <c r="AP254" s="125" t="s">
        <v>71</v>
      </c>
      <c r="AQ254" s="52">
        <v>329833.69</v>
      </c>
      <c r="AR254" s="51">
        <v>270571.27</v>
      </c>
      <c r="AS254" s="51">
        <f t="shared" si="52"/>
        <v>59262.419999999984</v>
      </c>
      <c r="AT254" s="51">
        <f t="shared" si="65"/>
        <v>179785.69999999995</v>
      </c>
      <c r="AU254" s="48"/>
      <c r="AV254" s="46"/>
    </row>
    <row r="255" spans="1:54" ht="26.25" hidden="1" customHeight="1" x14ac:dyDescent="0.2">
      <c r="A255" s="151">
        <v>639</v>
      </c>
      <c r="B255" s="122" t="s">
        <v>1197</v>
      </c>
      <c r="C255" s="116"/>
      <c r="D255" s="107">
        <v>482</v>
      </c>
      <c r="E255" s="36" t="s">
        <v>1198</v>
      </c>
      <c r="F255" s="36"/>
      <c r="G255" s="72" t="s">
        <v>1199</v>
      </c>
      <c r="H255" s="33" t="s">
        <v>576</v>
      </c>
      <c r="I255" s="107">
        <v>6222</v>
      </c>
      <c r="J255" s="107"/>
      <c r="K255" s="39" t="s">
        <v>577</v>
      </c>
      <c r="L255" s="40" t="s">
        <v>1027</v>
      </c>
      <c r="M255" s="147" t="s">
        <v>75</v>
      </c>
      <c r="N255" s="42" t="s">
        <v>76</v>
      </c>
      <c r="O255" s="41" t="s">
        <v>77</v>
      </c>
      <c r="P255" s="46" t="s">
        <v>289</v>
      </c>
      <c r="Q255" s="46" t="s">
        <v>1200</v>
      </c>
      <c r="R255" s="33" t="s">
        <v>1201</v>
      </c>
      <c r="S255" s="45">
        <f t="shared" si="59"/>
        <v>320000</v>
      </c>
      <c r="T255" s="45">
        <v>320000</v>
      </c>
      <c r="U255" s="45">
        <v>0</v>
      </c>
      <c r="V255" s="109" t="s">
        <v>1202</v>
      </c>
      <c r="W255" s="63">
        <v>41988</v>
      </c>
      <c r="X255" s="48"/>
      <c r="Y255" s="109" t="s">
        <v>234</v>
      </c>
      <c r="Z255" s="45"/>
      <c r="AA255" s="45"/>
      <c r="AB255" s="45">
        <f t="shared" si="53"/>
        <v>0</v>
      </c>
      <c r="AC255" s="48"/>
      <c r="AD255" s="63"/>
      <c r="AE255" s="51">
        <f t="shared" si="60"/>
        <v>0</v>
      </c>
      <c r="AF255" s="52">
        <f t="shared" si="61"/>
        <v>1812</v>
      </c>
      <c r="AG255" s="52">
        <v>318188</v>
      </c>
      <c r="AH255" s="52">
        <f>177980.63+138150.04</f>
        <v>316130.67000000004</v>
      </c>
      <c r="AI255" s="52">
        <f t="shared" si="64"/>
        <v>2057.3299999999581</v>
      </c>
      <c r="AJ255" s="124">
        <v>0</v>
      </c>
      <c r="AK255" s="45">
        <v>0</v>
      </c>
      <c r="AL255" s="52">
        <f t="shared" si="54"/>
        <v>0</v>
      </c>
      <c r="AM255" s="52">
        <f t="shared" si="63"/>
        <v>318188</v>
      </c>
      <c r="AN255" s="51">
        <f t="shared" si="66"/>
        <v>316130.67000000004</v>
      </c>
      <c r="AO255" s="51">
        <f t="shared" si="56"/>
        <v>2057.3299999999581</v>
      </c>
      <c r="AP255" s="125" t="s">
        <v>146</v>
      </c>
      <c r="AQ255" s="52"/>
      <c r="AR255" s="51"/>
      <c r="AS255" s="51">
        <f t="shared" si="52"/>
        <v>0</v>
      </c>
      <c r="AT255" s="126">
        <f t="shared" si="65"/>
        <v>3869.3299999999581</v>
      </c>
      <c r="AU255" s="48"/>
      <c r="AV255" s="46"/>
    </row>
    <row r="256" spans="1:54" ht="26.25" hidden="1" customHeight="1" x14ac:dyDescent="0.2">
      <c r="A256" s="151">
        <v>639</v>
      </c>
      <c r="B256" s="122" t="s">
        <v>1203</v>
      </c>
      <c r="C256" s="116"/>
      <c r="D256" s="107">
        <v>479</v>
      </c>
      <c r="E256" s="36" t="s">
        <v>1204</v>
      </c>
      <c r="F256" s="36"/>
      <c r="G256" s="72" t="s">
        <v>1199</v>
      </c>
      <c r="H256" s="33" t="s">
        <v>576</v>
      </c>
      <c r="I256" s="107">
        <v>6222</v>
      </c>
      <c r="J256" s="107"/>
      <c r="K256" s="39" t="s">
        <v>577</v>
      </c>
      <c r="L256" s="40" t="s">
        <v>1027</v>
      </c>
      <c r="M256" s="147" t="s">
        <v>75</v>
      </c>
      <c r="N256" s="42" t="s">
        <v>76</v>
      </c>
      <c r="O256" s="41" t="s">
        <v>77</v>
      </c>
      <c r="P256" s="46" t="s">
        <v>1205</v>
      </c>
      <c r="Q256" s="46" t="s">
        <v>1206</v>
      </c>
      <c r="R256" s="33" t="s">
        <v>1207</v>
      </c>
      <c r="S256" s="45">
        <f t="shared" si="59"/>
        <v>480000</v>
      </c>
      <c r="T256" s="45">
        <v>480000</v>
      </c>
      <c r="U256" s="45">
        <v>0</v>
      </c>
      <c r="V256" s="109" t="s">
        <v>1202</v>
      </c>
      <c r="W256" s="63">
        <v>41988</v>
      </c>
      <c r="X256" s="48"/>
      <c r="Y256" s="109" t="s">
        <v>234</v>
      </c>
      <c r="Z256" s="45"/>
      <c r="AA256" s="45"/>
      <c r="AB256" s="45">
        <f t="shared" si="53"/>
        <v>0</v>
      </c>
      <c r="AC256" s="48"/>
      <c r="AD256" s="63"/>
      <c r="AE256" s="51">
        <f t="shared" si="60"/>
        <v>0</v>
      </c>
      <c r="AF256" s="52">
        <f t="shared" si="61"/>
        <v>2660</v>
      </c>
      <c r="AG256" s="52">
        <v>477340</v>
      </c>
      <c r="AH256" s="52">
        <f>390327.72+87012.28</f>
        <v>477340</v>
      </c>
      <c r="AI256" s="52">
        <f t="shared" si="64"/>
        <v>0</v>
      </c>
      <c r="AJ256" s="124">
        <v>0</v>
      </c>
      <c r="AK256" s="45">
        <v>0</v>
      </c>
      <c r="AL256" s="52">
        <f t="shared" si="54"/>
        <v>0</v>
      </c>
      <c r="AM256" s="52">
        <f t="shared" si="63"/>
        <v>477340</v>
      </c>
      <c r="AN256" s="51">
        <f t="shared" si="66"/>
        <v>477340</v>
      </c>
      <c r="AO256" s="51">
        <f t="shared" si="56"/>
        <v>0</v>
      </c>
      <c r="AP256" s="125"/>
      <c r="AQ256" s="52"/>
      <c r="AR256" s="51"/>
      <c r="AS256" s="51">
        <f t="shared" si="52"/>
        <v>0</v>
      </c>
      <c r="AT256" s="126">
        <f t="shared" si="65"/>
        <v>2660</v>
      </c>
      <c r="AU256" s="48"/>
      <c r="AV256" s="46"/>
    </row>
    <row r="257" spans="1:54" ht="33" hidden="1" x14ac:dyDescent="0.2">
      <c r="A257" s="151">
        <v>639</v>
      </c>
      <c r="B257" s="122" t="s">
        <v>1208</v>
      </c>
      <c r="C257" s="116"/>
      <c r="D257" s="107">
        <v>481</v>
      </c>
      <c r="E257" s="36" t="s">
        <v>1209</v>
      </c>
      <c r="F257" s="37" t="s">
        <v>59</v>
      </c>
      <c r="G257" s="36" t="s">
        <v>951</v>
      </c>
      <c r="H257" s="33" t="s">
        <v>576</v>
      </c>
      <c r="I257" s="107">
        <v>6222</v>
      </c>
      <c r="J257" s="107"/>
      <c r="K257" s="39" t="s">
        <v>577</v>
      </c>
      <c r="L257" s="40" t="s">
        <v>1027</v>
      </c>
      <c r="M257" s="147" t="s">
        <v>75</v>
      </c>
      <c r="N257" s="42" t="s">
        <v>76</v>
      </c>
      <c r="O257" s="41" t="s">
        <v>77</v>
      </c>
      <c r="P257" s="46" t="s">
        <v>104</v>
      </c>
      <c r="Q257" s="46" t="s">
        <v>1210</v>
      </c>
      <c r="R257" s="33" t="s">
        <v>1211</v>
      </c>
      <c r="S257" s="45">
        <f t="shared" si="59"/>
        <v>1301361.49</v>
      </c>
      <c r="T257" s="45">
        <f>1305021.17-3659.68</f>
        <v>1301361.49</v>
      </c>
      <c r="U257" s="45">
        <v>0</v>
      </c>
      <c r="V257" s="67" t="s">
        <v>1212</v>
      </c>
      <c r="W257" s="47" t="s">
        <v>1213</v>
      </c>
      <c r="X257" s="48"/>
      <c r="Y257" s="109" t="s">
        <v>234</v>
      </c>
      <c r="Z257" s="45"/>
      <c r="AA257" s="45"/>
      <c r="AB257" s="45">
        <f t="shared" si="53"/>
        <v>0</v>
      </c>
      <c r="AC257" s="48"/>
      <c r="AD257" s="63"/>
      <c r="AE257" s="51">
        <f t="shared" si="60"/>
        <v>0</v>
      </c>
      <c r="AF257" s="52">
        <f t="shared" si="61"/>
        <v>0</v>
      </c>
      <c r="AG257" s="52">
        <v>1301361.49</v>
      </c>
      <c r="AH257" s="52">
        <f>390408.45+811533.45+99419.59</f>
        <v>1301361.49</v>
      </c>
      <c r="AI257" s="52">
        <f t="shared" si="64"/>
        <v>0</v>
      </c>
      <c r="AJ257" s="124">
        <v>0</v>
      </c>
      <c r="AK257" s="45">
        <v>0</v>
      </c>
      <c r="AL257" s="52">
        <f t="shared" si="54"/>
        <v>0</v>
      </c>
      <c r="AM257" s="52">
        <f t="shared" si="63"/>
        <v>1301361.49</v>
      </c>
      <c r="AN257" s="51">
        <f t="shared" si="66"/>
        <v>1301361.49</v>
      </c>
      <c r="AO257" s="51">
        <f t="shared" si="56"/>
        <v>0</v>
      </c>
      <c r="AP257" s="125" t="s">
        <v>71</v>
      </c>
      <c r="AQ257" s="52">
        <v>336559.01</v>
      </c>
      <c r="AR257" s="51">
        <f>299827.63+36731.38</f>
        <v>336559.01</v>
      </c>
      <c r="AS257" s="51">
        <f t="shared" si="52"/>
        <v>0</v>
      </c>
      <c r="AT257" s="126">
        <f t="shared" si="65"/>
        <v>0</v>
      </c>
      <c r="AU257" s="48"/>
      <c r="AV257" s="46"/>
    </row>
    <row r="258" spans="1:54" ht="26.25" hidden="1" customHeight="1" x14ac:dyDescent="0.2">
      <c r="A258" s="151">
        <v>639</v>
      </c>
      <c r="B258" s="122" t="s">
        <v>1214</v>
      </c>
      <c r="C258" s="116"/>
      <c r="D258" s="107">
        <v>392</v>
      </c>
      <c r="E258" s="36" t="s">
        <v>1215</v>
      </c>
      <c r="F258" s="36"/>
      <c r="G258" s="36"/>
      <c r="H258" s="33" t="s">
        <v>209</v>
      </c>
      <c r="I258" s="107">
        <v>6222</v>
      </c>
      <c r="J258" s="107"/>
      <c r="K258" s="39">
        <v>2.2999999999999998</v>
      </c>
      <c r="L258" s="40" t="s">
        <v>210</v>
      </c>
      <c r="M258" s="147" t="s">
        <v>75</v>
      </c>
      <c r="N258" s="42" t="s">
        <v>63</v>
      </c>
      <c r="O258" s="41" t="s">
        <v>77</v>
      </c>
      <c r="P258" s="46" t="s">
        <v>299</v>
      </c>
      <c r="Q258" s="46" t="s">
        <v>79</v>
      </c>
      <c r="R258" s="33" t="s">
        <v>1216</v>
      </c>
      <c r="S258" s="45">
        <f t="shared" si="59"/>
        <v>600000</v>
      </c>
      <c r="T258" s="45">
        <v>600000</v>
      </c>
      <c r="U258" s="45">
        <v>0</v>
      </c>
      <c r="V258" s="109" t="s">
        <v>677</v>
      </c>
      <c r="W258" s="63">
        <v>41870</v>
      </c>
      <c r="X258" s="48"/>
      <c r="Y258" s="109" t="s">
        <v>234</v>
      </c>
      <c r="Z258" s="45"/>
      <c r="AA258" s="45"/>
      <c r="AB258" s="45">
        <f t="shared" si="53"/>
        <v>0</v>
      </c>
      <c r="AC258" s="48"/>
      <c r="AD258" s="63"/>
      <c r="AE258" s="51">
        <f t="shared" si="60"/>
        <v>0</v>
      </c>
      <c r="AF258" s="52">
        <f t="shared" si="61"/>
        <v>1976.4100000000326</v>
      </c>
      <c r="AG258" s="52">
        <v>598023.59</v>
      </c>
      <c r="AH258" s="52">
        <f>179407.07+303856.75+114759.77</f>
        <v>598023.59</v>
      </c>
      <c r="AI258" s="52">
        <f t="shared" si="64"/>
        <v>0</v>
      </c>
      <c r="AJ258" s="124">
        <v>0</v>
      </c>
      <c r="AK258" s="45">
        <v>0</v>
      </c>
      <c r="AL258" s="52">
        <f t="shared" si="54"/>
        <v>0</v>
      </c>
      <c r="AM258" s="52">
        <f t="shared" si="63"/>
        <v>598023.59</v>
      </c>
      <c r="AN258" s="51">
        <f t="shared" si="66"/>
        <v>598023.59</v>
      </c>
      <c r="AO258" s="51">
        <f t="shared" si="56"/>
        <v>0</v>
      </c>
      <c r="AP258" s="125" t="s">
        <v>146</v>
      </c>
      <c r="AQ258" s="52">
        <v>154661.26999999999</v>
      </c>
      <c r="AR258" s="51">
        <f>112262.35+42398.92</f>
        <v>154661.27000000002</v>
      </c>
      <c r="AS258" s="51">
        <f t="shared" si="52"/>
        <v>-2.9103830456733704E-11</v>
      </c>
      <c r="AT258" s="126">
        <f t="shared" si="65"/>
        <v>1976.4100000000326</v>
      </c>
      <c r="AU258" s="48"/>
      <c r="AV258" s="46"/>
    </row>
    <row r="259" spans="1:54" ht="26.25" hidden="1" customHeight="1" x14ac:dyDescent="0.2">
      <c r="A259" s="151">
        <v>639</v>
      </c>
      <c r="B259" s="122" t="s">
        <v>1217</v>
      </c>
      <c r="C259" s="116"/>
      <c r="D259" s="107">
        <v>383</v>
      </c>
      <c r="E259" s="36" t="s">
        <v>1218</v>
      </c>
      <c r="F259" s="36"/>
      <c r="G259" s="36"/>
      <c r="H259" s="33" t="s">
        <v>209</v>
      </c>
      <c r="I259" s="107">
        <v>6222</v>
      </c>
      <c r="J259" s="107"/>
      <c r="K259" s="39">
        <v>2.2999999999999998</v>
      </c>
      <c r="L259" s="40" t="s">
        <v>210</v>
      </c>
      <c r="M259" s="147" t="s">
        <v>75</v>
      </c>
      <c r="N259" s="42" t="s">
        <v>63</v>
      </c>
      <c r="O259" s="41" t="s">
        <v>77</v>
      </c>
      <c r="P259" s="46" t="s">
        <v>443</v>
      </c>
      <c r="Q259" s="46" t="s">
        <v>1219</v>
      </c>
      <c r="R259" s="33" t="s">
        <v>1220</v>
      </c>
      <c r="S259" s="45">
        <f t="shared" si="59"/>
        <v>324800</v>
      </c>
      <c r="T259" s="45">
        <v>324800</v>
      </c>
      <c r="U259" s="45">
        <v>0</v>
      </c>
      <c r="V259" s="109" t="s">
        <v>677</v>
      </c>
      <c r="W259" s="63">
        <v>41870</v>
      </c>
      <c r="X259" s="48"/>
      <c r="Y259" s="109" t="s">
        <v>234</v>
      </c>
      <c r="Z259" s="45"/>
      <c r="AA259" s="45"/>
      <c r="AB259" s="45">
        <f t="shared" si="53"/>
        <v>0</v>
      </c>
      <c r="AC259" s="48"/>
      <c r="AD259" s="63"/>
      <c r="AE259" s="51">
        <f t="shared" si="60"/>
        <v>0</v>
      </c>
      <c r="AF259" s="52">
        <f t="shared" si="61"/>
        <v>11600</v>
      </c>
      <c r="AG259" s="52">
        <v>313200</v>
      </c>
      <c r="AH259" s="52">
        <f>93960+197238+22002</f>
        <v>313200</v>
      </c>
      <c r="AI259" s="52">
        <f t="shared" si="64"/>
        <v>0</v>
      </c>
      <c r="AJ259" s="124">
        <v>0</v>
      </c>
      <c r="AK259" s="45">
        <v>0</v>
      </c>
      <c r="AL259" s="52">
        <f t="shared" si="54"/>
        <v>0</v>
      </c>
      <c r="AM259" s="52">
        <f t="shared" si="63"/>
        <v>313200</v>
      </c>
      <c r="AN259" s="51">
        <f t="shared" si="66"/>
        <v>313200</v>
      </c>
      <c r="AO259" s="51">
        <f t="shared" si="56"/>
        <v>0</v>
      </c>
      <c r="AP259" s="125" t="s">
        <v>205</v>
      </c>
      <c r="AQ259" s="52">
        <v>81000</v>
      </c>
      <c r="AR259" s="51">
        <f>72871.18+8128.82</f>
        <v>81000</v>
      </c>
      <c r="AS259" s="51">
        <f t="shared" si="52"/>
        <v>0</v>
      </c>
      <c r="AT259" s="126">
        <f t="shared" si="65"/>
        <v>11600</v>
      </c>
      <c r="AU259" s="48"/>
      <c r="AV259" s="46"/>
    </row>
    <row r="260" spans="1:54" ht="26.25" hidden="1" customHeight="1" x14ac:dyDescent="0.2">
      <c r="A260" s="151">
        <v>639</v>
      </c>
      <c r="B260" s="122" t="s">
        <v>1221</v>
      </c>
      <c r="C260" s="116"/>
      <c r="D260" s="107">
        <v>384</v>
      </c>
      <c r="E260" s="36" t="s">
        <v>1222</v>
      </c>
      <c r="F260" s="36"/>
      <c r="G260" s="36"/>
      <c r="H260" s="33" t="s">
        <v>209</v>
      </c>
      <c r="I260" s="107">
        <v>6222</v>
      </c>
      <c r="J260" s="107"/>
      <c r="K260" s="39">
        <v>2.2999999999999998</v>
      </c>
      <c r="L260" s="40" t="s">
        <v>210</v>
      </c>
      <c r="M260" s="147" t="s">
        <v>75</v>
      </c>
      <c r="N260" s="42" t="s">
        <v>76</v>
      </c>
      <c r="O260" s="41" t="s">
        <v>77</v>
      </c>
      <c r="P260" s="46" t="s">
        <v>141</v>
      </c>
      <c r="Q260" s="46" t="s">
        <v>937</v>
      </c>
      <c r="R260" s="33" t="s">
        <v>1223</v>
      </c>
      <c r="S260" s="45">
        <f t="shared" si="59"/>
        <v>720000</v>
      </c>
      <c r="T260" s="45">
        <v>720000</v>
      </c>
      <c r="U260" s="45">
        <v>0</v>
      </c>
      <c r="V260" s="109" t="s">
        <v>677</v>
      </c>
      <c r="W260" s="63">
        <v>41870</v>
      </c>
      <c r="X260" s="48"/>
      <c r="Y260" s="109" t="s">
        <v>234</v>
      </c>
      <c r="Z260" s="45"/>
      <c r="AA260" s="45"/>
      <c r="AB260" s="45">
        <f t="shared" si="53"/>
        <v>0</v>
      </c>
      <c r="AC260" s="48"/>
      <c r="AD260" s="63"/>
      <c r="AE260" s="51">
        <f t="shared" si="60"/>
        <v>0</v>
      </c>
      <c r="AF260" s="52">
        <f t="shared" si="61"/>
        <v>24000.369999999995</v>
      </c>
      <c r="AG260" s="52">
        <v>695999.63</v>
      </c>
      <c r="AH260" s="52">
        <f>208799.88+328841.58</f>
        <v>537641.46</v>
      </c>
      <c r="AI260" s="52">
        <f t="shared" si="64"/>
        <v>158358.17000000004</v>
      </c>
      <c r="AJ260" s="124">
        <v>0</v>
      </c>
      <c r="AK260" s="45">
        <v>0</v>
      </c>
      <c r="AL260" s="52">
        <f t="shared" si="54"/>
        <v>0</v>
      </c>
      <c r="AM260" s="52">
        <f t="shared" si="63"/>
        <v>695999.63</v>
      </c>
      <c r="AN260" s="51">
        <f t="shared" si="66"/>
        <v>537641.46</v>
      </c>
      <c r="AO260" s="51">
        <f t="shared" si="56"/>
        <v>158358.17000000004</v>
      </c>
      <c r="AP260" s="125" t="s">
        <v>205</v>
      </c>
      <c r="AQ260" s="52">
        <v>179999.9</v>
      </c>
      <c r="AR260" s="51">
        <v>121493.2</v>
      </c>
      <c r="AS260" s="51">
        <f t="shared" si="52"/>
        <v>58506.7</v>
      </c>
      <c r="AT260" s="51">
        <f t="shared" si="65"/>
        <v>182358.54000000004</v>
      </c>
      <c r="AU260" s="48"/>
      <c r="AV260" s="46"/>
    </row>
    <row r="261" spans="1:54" ht="38.25" hidden="1" customHeight="1" x14ac:dyDescent="0.2">
      <c r="A261" s="151">
        <v>639</v>
      </c>
      <c r="B261" s="122" t="s">
        <v>1224</v>
      </c>
      <c r="C261" s="116" t="s">
        <v>27</v>
      </c>
      <c r="D261" s="107">
        <v>382</v>
      </c>
      <c r="E261" s="36" t="s">
        <v>1225</v>
      </c>
      <c r="F261" s="36"/>
      <c r="G261" s="36"/>
      <c r="H261" s="33" t="s">
        <v>209</v>
      </c>
      <c r="I261" s="107">
        <v>6222</v>
      </c>
      <c r="J261" s="107"/>
      <c r="K261" s="39">
        <v>2.2999999999999998</v>
      </c>
      <c r="L261" s="40" t="s">
        <v>210</v>
      </c>
      <c r="M261" s="147" t="s">
        <v>75</v>
      </c>
      <c r="N261" s="42" t="s">
        <v>76</v>
      </c>
      <c r="O261" s="41" t="s">
        <v>77</v>
      </c>
      <c r="P261" s="46" t="s">
        <v>109</v>
      </c>
      <c r="Q261" s="46" t="s">
        <v>1226</v>
      </c>
      <c r="R261" s="33" t="s">
        <v>1227</v>
      </c>
      <c r="S261" s="45">
        <f t="shared" si="59"/>
        <v>554880</v>
      </c>
      <c r="T261" s="45">
        <v>554880</v>
      </c>
      <c r="U261" s="45">
        <v>0</v>
      </c>
      <c r="V261" s="109" t="s">
        <v>677</v>
      </c>
      <c r="W261" s="63">
        <v>41870</v>
      </c>
      <c r="X261" s="48"/>
      <c r="Y261" s="109" t="s">
        <v>234</v>
      </c>
      <c r="Z261" s="45"/>
      <c r="AA261" s="45"/>
      <c r="AB261" s="45">
        <f t="shared" si="53"/>
        <v>0</v>
      </c>
      <c r="AC261" s="48"/>
      <c r="AD261" s="63"/>
      <c r="AE261" s="51">
        <f t="shared" si="60"/>
        <v>0</v>
      </c>
      <c r="AF261" s="52">
        <f t="shared" si="61"/>
        <v>9846.359999999986</v>
      </c>
      <c r="AG261" s="52">
        <v>545033.64</v>
      </c>
      <c r="AH261" s="52">
        <f>163510.1+131697.83+168401.42</f>
        <v>463609.35</v>
      </c>
      <c r="AI261" s="52">
        <f t="shared" si="64"/>
        <v>81424.290000000037</v>
      </c>
      <c r="AJ261" s="124">
        <v>0</v>
      </c>
      <c r="AK261" s="45">
        <v>0</v>
      </c>
      <c r="AL261" s="52">
        <f t="shared" si="54"/>
        <v>0</v>
      </c>
      <c r="AM261" s="52">
        <f t="shared" si="63"/>
        <v>545033.64</v>
      </c>
      <c r="AN261" s="51">
        <f t="shared" si="66"/>
        <v>463609.35</v>
      </c>
      <c r="AO261" s="51">
        <f t="shared" si="56"/>
        <v>81424.290000000037</v>
      </c>
      <c r="AP261" s="125" t="s">
        <v>71</v>
      </c>
      <c r="AQ261" s="52">
        <v>140956.98000000001</v>
      </c>
      <c r="AR261" s="51">
        <f>48656.83+62217.28</f>
        <v>110874.11</v>
      </c>
      <c r="AS261" s="51">
        <f t="shared" si="52"/>
        <v>30082.87000000001</v>
      </c>
      <c r="AT261" s="51">
        <f t="shared" si="65"/>
        <v>91270.650000000023</v>
      </c>
      <c r="AU261" s="48"/>
      <c r="AV261" s="46"/>
    </row>
    <row r="262" spans="1:54" ht="26.25" hidden="1" customHeight="1" x14ac:dyDescent="0.2">
      <c r="A262" s="151">
        <v>639</v>
      </c>
      <c r="B262" s="122" t="s">
        <v>1228</v>
      </c>
      <c r="C262" s="116"/>
      <c r="D262" s="107">
        <v>410</v>
      </c>
      <c r="E262" s="36" t="s">
        <v>1229</v>
      </c>
      <c r="F262" s="36"/>
      <c r="G262" s="36"/>
      <c r="H262" s="33" t="s">
        <v>209</v>
      </c>
      <c r="I262" s="107">
        <v>6222</v>
      </c>
      <c r="J262" s="107"/>
      <c r="K262" s="39">
        <v>2.2999999999999998</v>
      </c>
      <c r="L262" s="40" t="s">
        <v>210</v>
      </c>
      <c r="M262" s="147" t="s">
        <v>75</v>
      </c>
      <c r="N262" s="42" t="s">
        <v>76</v>
      </c>
      <c r="O262" s="41" t="s">
        <v>77</v>
      </c>
      <c r="P262" s="46" t="s">
        <v>289</v>
      </c>
      <c r="Q262" s="46" t="s">
        <v>1230</v>
      </c>
      <c r="R262" s="33" t="s">
        <v>1231</v>
      </c>
      <c r="S262" s="45">
        <f t="shared" si="59"/>
        <v>331760</v>
      </c>
      <c r="T262" s="45">
        <v>331760</v>
      </c>
      <c r="U262" s="45">
        <v>0</v>
      </c>
      <c r="V262" s="109" t="s">
        <v>677</v>
      </c>
      <c r="W262" s="63">
        <v>41870</v>
      </c>
      <c r="X262" s="48"/>
      <c r="Y262" s="109" t="s">
        <v>234</v>
      </c>
      <c r="Z262" s="45"/>
      <c r="AA262" s="45"/>
      <c r="AB262" s="45">
        <f t="shared" si="53"/>
        <v>0</v>
      </c>
      <c r="AC262" s="48"/>
      <c r="AD262" s="63"/>
      <c r="AE262" s="51">
        <f t="shared" si="60"/>
        <v>0</v>
      </c>
      <c r="AF262" s="52">
        <f t="shared" si="61"/>
        <v>2320</v>
      </c>
      <c r="AG262" s="52">
        <v>329440</v>
      </c>
      <c r="AH262" s="52">
        <f>98832+173515.63+57092.37</f>
        <v>329440</v>
      </c>
      <c r="AI262" s="52">
        <f t="shared" si="64"/>
        <v>0</v>
      </c>
      <c r="AJ262" s="124">
        <v>0</v>
      </c>
      <c r="AK262" s="45">
        <v>0</v>
      </c>
      <c r="AL262" s="52">
        <f t="shared" si="54"/>
        <v>0</v>
      </c>
      <c r="AM262" s="52">
        <f t="shared" si="63"/>
        <v>329440</v>
      </c>
      <c r="AN262" s="51">
        <f t="shared" si="66"/>
        <v>329440</v>
      </c>
      <c r="AO262" s="51">
        <f t="shared" si="56"/>
        <v>0</v>
      </c>
      <c r="AP262" s="125" t="s">
        <v>205</v>
      </c>
      <c r="AQ262" s="52">
        <v>85200</v>
      </c>
      <c r="AR262" s="51">
        <f>64106.76+21093.24</f>
        <v>85200</v>
      </c>
      <c r="AS262" s="51">
        <f t="shared" si="52"/>
        <v>0</v>
      </c>
      <c r="AT262" s="126">
        <f t="shared" si="65"/>
        <v>2320</v>
      </c>
      <c r="AU262" s="48"/>
      <c r="AV262" s="46"/>
    </row>
    <row r="263" spans="1:54" ht="26.25" hidden="1" customHeight="1" x14ac:dyDescent="0.2">
      <c r="A263" s="161">
        <v>639</v>
      </c>
      <c r="B263" s="33" t="s">
        <v>185</v>
      </c>
      <c r="C263" s="35"/>
      <c r="D263" s="65" t="s">
        <v>27</v>
      </c>
      <c r="E263" s="36" t="s">
        <v>1070</v>
      </c>
      <c r="F263" s="149"/>
      <c r="G263" s="149"/>
      <c r="H263" s="150" t="s">
        <v>27</v>
      </c>
      <c r="I263" s="38" t="s">
        <v>1232</v>
      </c>
      <c r="J263" s="107"/>
      <c r="K263" s="39"/>
      <c r="L263" s="146" t="s">
        <v>1079</v>
      </c>
      <c r="M263" s="147" t="s">
        <v>1072</v>
      </c>
      <c r="N263" s="42" t="s">
        <v>76</v>
      </c>
      <c r="O263" s="148" t="s">
        <v>1233</v>
      </c>
      <c r="P263" s="46" t="s">
        <v>1073</v>
      </c>
      <c r="Q263" s="46" t="s">
        <v>1074</v>
      </c>
      <c r="R263" s="256" t="s">
        <v>1075</v>
      </c>
      <c r="S263" s="162">
        <f t="shared" si="59"/>
        <v>7336374.6500000004</v>
      </c>
      <c r="T263" s="162">
        <v>7336374.6500000004</v>
      </c>
      <c r="U263" s="162">
        <v>0</v>
      </c>
      <c r="V263" s="67" t="s">
        <v>1076</v>
      </c>
      <c r="W263" s="143" t="s">
        <v>1234</v>
      </c>
      <c r="X263" s="48"/>
      <c r="Y263" s="109" t="s">
        <v>234</v>
      </c>
      <c r="Z263" s="45"/>
      <c r="AA263" s="45"/>
      <c r="AB263" s="45">
        <f t="shared" si="53"/>
        <v>0</v>
      </c>
      <c r="AC263" s="48"/>
      <c r="AD263" s="63"/>
      <c r="AE263" s="51">
        <f t="shared" si="60"/>
        <v>0</v>
      </c>
      <c r="AF263" s="52">
        <f t="shared" si="61"/>
        <v>6397.7400000002235</v>
      </c>
      <c r="AG263" s="52">
        <v>7329976.9100000001</v>
      </c>
      <c r="AH263" s="52">
        <f>2198993.08+188380.32+417485.77+428426.34+283182.89+330237.85+352805.18</f>
        <v>4199511.43</v>
      </c>
      <c r="AI263" s="52">
        <f t="shared" si="64"/>
        <v>3130465.4800000004</v>
      </c>
      <c r="AJ263" s="124">
        <v>0</v>
      </c>
      <c r="AK263" s="45">
        <v>0</v>
      </c>
      <c r="AL263" s="52">
        <f t="shared" si="54"/>
        <v>0</v>
      </c>
      <c r="AM263" s="52">
        <f t="shared" si="63"/>
        <v>7329976.9100000001</v>
      </c>
      <c r="AN263" s="51">
        <f t="shared" si="66"/>
        <v>4199511.43</v>
      </c>
      <c r="AO263" s="51">
        <f t="shared" si="56"/>
        <v>3130465.4800000004</v>
      </c>
      <c r="AP263" s="125"/>
      <c r="AQ263" s="52">
        <v>1895683.69</v>
      </c>
      <c r="AR263" s="51">
        <f>69598.64+154243.51+158285.6+104624.22+122009.06+130346.74</f>
        <v>739107.77</v>
      </c>
      <c r="AS263" s="51">
        <f t="shared" si="52"/>
        <v>1156575.92</v>
      </c>
      <c r="AT263" s="51">
        <f t="shared" si="65"/>
        <v>3136863.2200000007</v>
      </c>
      <c r="AU263" s="48"/>
      <c r="AV263" s="46"/>
    </row>
    <row r="264" spans="1:54" ht="34.5" hidden="1" customHeight="1" x14ac:dyDescent="0.2">
      <c r="A264" s="161">
        <v>639</v>
      </c>
      <c r="B264" s="33" t="s">
        <v>185</v>
      </c>
      <c r="C264" s="64"/>
      <c r="D264" s="107" t="s">
        <v>27</v>
      </c>
      <c r="E264" s="36" t="s">
        <v>1070</v>
      </c>
      <c r="F264" s="36"/>
      <c r="G264" s="36"/>
      <c r="H264" s="105"/>
      <c r="I264" s="38" t="s">
        <v>1232</v>
      </c>
      <c r="J264" s="107"/>
      <c r="K264" s="39"/>
      <c r="L264" s="146" t="s">
        <v>1071</v>
      </c>
      <c r="M264" s="147" t="s">
        <v>1072</v>
      </c>
      <c r="N264" s="42" t="s">
        <v>76</v>
      </c>
      <c r="O264" s="148" t="s">
        <v>1233</v>
      </c>
      <c r="P264" s="46" t="s">
        <v>1073</v>
      </c>
      <c r="Q264" s="46" t="s">
        <v>1074</v>
      </c>
      <c r="R264" s="257"/>
      <c r="S264" s="45">
        <f t="shared" si="59"/>
        <v>1308884.4099999999</v>
      </c>
      <c r="T264" s="45">
        <v>1308884.4099999999</v>
      </c>
      <c r="U264" s="45">
        <v>0</v>
      </c>
      <c r="V264" s="67" t="s">
        <v>1076</v>
      </c>
      <c r="W264" s="143" t="s">
        <v>1234</v>
      </c>
      <c r="X264" s="48"/>
      <c r="Y264" s="109" t="s">
        <v>234</v>
      </c>
      <c r="Z264" s="45"/>
      <c r="AA264" s="45"/>
      <c r="AB264" s="45">
        <f t="shared" si="53"/>
        <v>0</v>
      </c>
      <c r="AC264" s="48"/>
      <c r="AD264" s="63"/>
      <c r="AE264" s="51">
        <f t="shared" si="60"/>
        <v>0</v>
      </c>
      <c r="AF264" s="52">
        <f t="shared" si="61"/>
        <v>1141.4399999999441</v>
      </c>
      <c r="AG264" s="52">
        <v>1307742.97</v>
      </c>
      <c r="AH264" s="52">
        <f>392322.89+33608.98+74483.74+76435.65+50522.73+58917.82+62944.06</f>
        <v>749235.86999999988</v>
      </c>
      <c r="AI264" s="52">
        <f t="shared" si="64"/>
        <v>558507.10000000009</v>
      </c>
      <c r="AJ264" s="124">
        <v>0</v>
      </c>
      <c r="AK264" s="45">
        <v>0</v>
      </c>
      <c r="AL264" s="52">
        <f t="shared" si="54"/>
        <v>0</v>
      </c>
      <c r="AM264" s="52">
        <f t="shared" si="63"/>
        <v>1307742.97</v>
      </c>
      <c r="AN264" s="51">
        <f t="shared" si="66"/>
        <v>749235.86999999988</v>
      </c>
      <c r="AO264" s="51">
        <f t="shared" si="56"/>
        <v>558507.10000000009</v>
      </c>
      <c r="AP264" s="125"/>
      <c r="AQ264" s="52">
        <v>338209.39</v>
      </c>
      <c r="AR264" s="51">
        <f>12417.11+27518.62+28239.77+18666.03+21767.67+23255.19</f>
        <v>131864.38999999998</v>
      </c>
      <c r="AS264" s="51">
        <f t="shared" si="52"/>
        <v>206345.00000000003</v>
      </c>
      <c r="AT264" s="51">
        <f t="shared" si="65"/>
        <v>559648.54</v>
      </c>
      <c r="AU264" s="48"/>
      <c r="AV264" s="46"/>
    </row>
    <row r="265" spans="1:54" ht="26.25" hidden="1" customHeight="1" x14ac:dyDescent="0.2">
      <c r="A265" s="161">
        <v>639</v>
      </c>
      <c r="B265" s="33" t="s">
        <v>185</v>
      </c>
      <c r="C265" s="64"/>
      <c r="D265" s="107" t="s">
        <v>27</v>
      </c>
      <c r="E265" s="36" t="s">
        <v>1070</v>
      </c>
      <c r="F265" s="36"/>
      <c r="G265" s="36"/>
      <c r="H265" s="105"/>
      <c r="I265" s="38" t="s">
        <v>1232</v>
      </c>
      <c r="J265" s="107"/>
      <c r="K265" s="39"/>
      <c r="L265" s="40" t="s">
        <v>1077</v>
      </c>
      <c r="M265" s="147" t="s">
        <v>1072</v>
      </c>
      <c r="N265" s="42" t="s">
        <v>76</v>
      </c>
      <c r="O265" s="148" t="s">
        <v>1233</v>
      </c>
      <c r="P265" s="46" t="s">
        <v>1073</v>
      </c>
      <c r="Q265" s="46" t="s">
        <v>1074</v>
      </c>
      <c r="R265" s="257"/>
      <c r="S265" s="45">
        <f t="shared" si="59"/>
        <v>738941.8</v>
      </c>
      <c r="T265" s="45">
        <v>738941.8</v>
      </c>
      <c r="U265" s="45">
        <v>0</v>
      </c>
      <c r="V265" s="67" t="s">
        <v>1076</v>
      </c>
      <c r="W265" s="143" t="s">
        <v>1234</v>
      </c>
      <c r="X265" s="48"/>
      <c r="Y265" s="109" t="s">
        <v>234</v>
      </c>
      <c r="Z265" s="45"/>
      <c r="AA265" s="45"/>
      <c r="AB265" s="45">
        <f t="shared" si="53"/>
        <v>0</v>
      </c>
      <c r="AC265" s="48"/>
      <c r="AD265" s="63"/>
      <c r="AE265" s="51">
        <f t="shared" si="60"/>
        <v>0</v>
      </c>
      <c r="AF265" s="52">
        <f t="shared" si="61"/>
        <v>644.40000000002328</v>
      </c>
      <c r="AG265" s="52">
        <v>738297.4</v>
      </c>
      <c r="AH265" s="52">
        <f>221489.22+18974.22+42050.43+43152.39+28523.03+33262.56+35535.6</f>
        <v>422987.45</v>
      </c>
      <c r="AI265" s="52">
        <f t="shared" si="64"/>
        <v>315309.95</v>
      </c>
      <c r="AJ265" s="124">
        <v>0</v>
      </c>
      <c r="AK265" s="45">
        <v>0</v>
      </c>
      <c r="AL265" s="52">
        <f t="shared" si="54"/>
        <v>0</v>
      </c>
      <c r="AM265" s="52">
        <f t="shared" si="63"/>
        <v>738297.4</v>
      </c>
      <c r="AN265" s="51">
        <f t="shared" si="66"/>
        <v>422987.45</v>
      </c>
      <c r="AO265" s="51">
        <f t="shared" si="56"/>
        <v>315309.95</v>
      </c>
      <c r="AP265" s="125"/>
      <c r="AQ265" s="52">
        <v>190938.98</v>
      </c>
      <c r="AR265" s="51">
        <f>7010.19+15535.87+15943+10538.07+12289.12+13128.92</f>
        <v>74445.17</v>
      </c>
      <c r="AS265" s="51">
        <f t="shared" ref="AS265:AS324" si="67">SUM(AQ265-AR265)</f>
        <v>116493.81000000001</v>
      </c>
      <c r="AT265" s="51">
        <f t="shared" si="65"/>
        <v>315954.35000000003</v>
      </c>
      <c r="AU265" s="48"/>
      <c r="AV265" s="46"/>
    </row>
    <row r="266" spans="1:54" ht="26.25" hidden="1" customHeight="1" x14ac:dyDescent="0.2">
      <c r="A266" s="161">
        <v>639</v>
      </c>
      <c r="B266" s="33" t="s">
        <v>185</v>
      </c>
      <c r="C266" s="64"/>
      <c r="D266" s="107" t="s">
        <v>27</v>
      </c>
      <c r="E266" s="36" t="s">
        <v>1070</v>
      </c>
      <c r="F266" s="36"/>
      <c r="G266" s="36"/>
      <c r="H266" s="105"/>
      <c r="I266" s="38" t="s">
        <v>1232</v>
      </c>
      <c r="J266" s="107"/>
      <c r="K266" s="39"/>
      <c r="L266" s="40" t="s">
        <v>1078</v>
      </c>
      <c r="M266" s="147" t="s">
        <v>1072</v>
      </c>
      <c r="N266" s="42" t="s">
        <v>76</v>
      </c>
      <c r="O266" s="148" t="s">
        <v>1233</v>
      </c>
      <c r="P266" s="46" t="s">
        <v>1073</v>
      </c>
      <c r="Q266" s="46" t="s">
        <v>1074</v>
      </c>
      <c r="R266" s="257"/>
      <c r="S266" s="45">
        <f t="shared" si="59"/>
        <v>298776.40000000002</v>
      </c>
      <c r="T266" s="45">
        <v>298776.40000000002</v>
      </c>
      <c r="U266" s="45">
        <v>0</v>
      </c>
      <c r="V266" s="67" t="s">
        <v>1076</v>
      </c>
      <c r="W266" s="143" t="s">
        <v>1234</v>
      </c>
      <c r="X266" s="48"/>
      <c r="Y266" s="109" t="s">
        <v>234</v>
      </c>
      <c r="Z266" s="45"/>
      <c r="AA266" s="45"/>
      <c r="AB266" s="45">
        <f t="shared" si="53"/>
        <v>0</v>
      </c>
      <c r="AC266" s="48"/>
      <c r="AD266" s="63"/>
      <c r="AE266" s="51">
        <f t="shared" si="60"/>
        <v>0</v>
      </c>
      <c r="AF266" s="52">
        <f t="shared" si="61"/>
        <v>260.55000000004657</v>
      </c>
      <c r="AG266" s="52">
        <v>298515.84999999998</v>
      </c>
      <c r="AH266" s="52">
        <f>89554.76+7671.86+17002.26+17447.77+11532.72+13449.05+14368.11</f>
        <v>171026.52999999997</v>
      </c>
      <c r="AI266" s="52">
        <f t="shared" si="64"/>
        <v>127489.32</v>
      </c>
      <c r="AJ266" s="124">
        <v>0</v>
      </c>
      <c r="AK266" s="45">
        <v>0</v>
      </c>
      <c r="AL266" s="52">
        <f t="shared" si="54"/>
        <v>0</v>
      </c>
      <c r="AM266" s="52">
        <f t="shared" si="63"/>
        <v>298515.84999999998</v>
      </c>
      <c r="AN266" s="51">
        <f t="shared" si="66"/>
        <v>171026.52999999997</v>
      </c>
      <c r="AO266" s="51">
        <f t="shared" si="56"/>
        <v>127489.32</v>
      </c>
      <c r="AP266" s="125"/>
      <c r="AQ266" s="52">
        <v>77202.38</v>
      </c>
      <c r="AR266" s="51">
        <f>2834.43+6281.62+6446.24+4260.86+4968.86+5308.42</f>
        <v>30100.43</v>
      </c>
      <c r="AS266" s="51">
        <f t="shared" si="67"/>
        <v>47101.950000000004</v>
      </c>
      <c r="AT266" s="51">
        <f t="shared" si="65"/>
        <v>127749.87000000005</v>
      </c>
      <c r="AU266" s="48"/>
      <c r="AV266" s="46"/>
    </row>
    <row r="267" spans="1:54" ht="26.25" hidden="1" customHeight="1" x14ac:dyDescent="0.2">
      <c r="A267" s="161">
        <v>639</v>
      </c>
      <c r="B267" s="33" t="s">
        <v>185</v>
      </c>
      <c r="C267" s="64"/>
      <c r="D267" s="107" t="s">
        <v>27</v>
      </c>
      <c r="E267" s="36" t="s">
        <v>1070</v>
      </c>
      <c r="F267" s="36"/>
      <c r="G267" s="36"/>
      <c r="H267" s="105"/>
      <c r="I267" s="38" t="s">
        <v>1232</v>
      </c>
      <c r="J267" s="107"/>
      <c r="K267" s="39"/>
      <c r="L267" s="40" t="s">
        <v>1080</v>
      </c>
      <c r="M267" s="147" t="s">
        <v>1072</v>
      </c>
      <c r="N267" s="42" t="s">
        <v>76</v>
      </c>
      <c r="O267" s="148" t="s">
        <v>1233</v>
      </c>
      <c r="P267" s="46" t="s">
        <v>1073</v>
      </c>
      <c r="Q267" s="46" t="s">
        <v>1074</v>
      </c>
      <c r="R267" s="257"/>
      <c r="S267" s="45">
        <f t="shared" si="59"/>
        <v>172251.25</v>
      </c>
      <c r="T267" s="45">
        <v>172251.25</v>
      </c>
      <c r="U267" s="45">
        <v>0</v>
      </c>
      <c r="V267" s="67" t="s">
        <v>1076</v>
      </c>
      <c r="W267" s="143" t="s">
        <v>1234</v>
      </c>
      <c r="X267" s="48"/>
      <c r="Y267" s="109" t="s">
        <v>234</v>
      </c>
      <c r="Z267" s="45"/>
      <c r="AA267" s="45"/>
      <c r="AB267" s="45">
        <f t="shared" si="53"/>
        <v>0</v>
      </c>
      <c r="AC267" s="48"/>
      <c r="AD267" s="63"/>
      <c r="AE267" s="51">
        <f t="shared" si="60"/>
        <v>0</v>
      </c>
      <c r="AF267" s="52">
        <f t="shared" si="61"/>
        <v>150.20000000001164</v>
      </c>
      <c r="AG267" s="52">
        <v>172101.05</v>
      </c>
      <c r="AH267" s="52">
        <f>51630.31+4423+9802.19+10059.04+6648.86+7753.67+8283.54</f>
        <v>98600.610000000015</v>
      </c>
      <c r="AI267" s="52">
        <f t="shared" si="64"/>
        <v>73500.439999999973</v>
      </c>
      <c r="AJ267" s="124">
        <v>0</v>
      </c>
      <c r="AK267" s="45">
        <v>0</v>
      </c>
      <c r="AL267" s="52">
        <f t="shared" si="54"/>
        <v>0</v>
      </c>
      <c r="AM267" s="52">
        <f t="shared" si="63"/>
        <v>172101.05</v>
      </c>
      <c r="AN267" s="51">
        <f t="shared" si="66"/>
        <v>98600.610000000015</v>
      </c>
      <c r="AO267" s="51">
        <f t="shared" si="56"/>
        <v>73500.439999999973</v>
      </c>
      <c r="AP267" s="125"/>
      <c r="AQ267" s="52">
        <v>44508.89</v>
      </c>
      <c r="AR267" s="51">
        <f>1634.11+3621.49+3716.4+2456.48+2864.66+3060.42</f>
        <v>17353.559999999998</v>
      </c>
      <c r="AS267" s="51">
        <f t="shared" si="67"/>
        <v>27155.33</v>
      </c>
      <c r="AT267" s="51">
        <f t="shared" si="65"/>
        <v>73650.639999999985</v>
      </c>
      <c r="AU267" s="48"/>
      <c r="AV267" s="46"/>
    </row>
    <row r="268" spans="1:54" ht="26.25" hidden="1" customHeight="1" x14ac:dyDescent="0.2">
      <c r="A268" s="161">
        <v>639</v>
      </c>
      <c r="B268" s="33" t="s">
        <v>185</v>
      </c>
      <c r="C268" s="64"/>
      <c r="D268" s="107" t="s">
        <v>27</v>
      </c>
      <c r="E268" s="36" t="s">
        <v>1070</v>
      </c>
      <c r="F268" s="36"/>
      <c r="G268" s="36"/>
      <c r="H268" s="105"/>
      <c r="I268" s="38" t="s">
        <v>1232</v>
      </c>
      <c r="J268" s="107"/>
      <c r="K268" s="39"/>
      <c r="L268" s="40" t="s">
        <v>1082</v>
      </c>
      <c r="M268" s="147" t="s">
        <v>1072</v>
      </c>
      <c r="N268" s="42" t="s">
        <v>76</v>
      </c>
      <c r="O268" s="148" t="s">
        <v>1233</v>
      </c>
      <c r="P268" s="46" t="s">
        <v>1073</v>
      </c>
      <c r="Q268" s="46" t="s">
        <v>1074</v>
      </c>
      <c r="R268" s="258"/>
      <c r="S268" s="45">
        <f t="shared" si="59"/>
        <v>2310000</v>
      </c>
      <c r="T268" s="45">
        <v>2310000</v>
      </c>
      <c r="U268" s="45">
        <v>0</v>
      </c>
      <c r="V268" s="67" t="s">
        <v>1076</v>
      </c>
      <c r="W268" s="143" t="s">
        <v>1234</v>
      </c>
      <c r="X268" s="48"/>
      <c r="Y268" s="109" t="s">
        <v>234</v>
      </c>
      <c r="Z268" s="45"/>
      <c r="AA268" s="45"/>
      <c r="AB268" s="45">
        <f t="shared" si="53"/>
        <v>0</v>
      </c>
      <c r="AC268" s="48"/>
      <c r="AD268" s="63"/>
      <c r="AE268" s="51">
        <f t="shared" si="60"/>
        <v>0</v>
      </c>
      <c r="AF268" s="52">
        <f t="shared" si="61"/>
        <v>2014.4599999999627</v>
      </c>
      <c r="AG268" s="52">
        <v>2307985.54</v>
      </c>
      <c r="AH268" s="52">
        <f>692395.66+59315.21+131453.48+134898.37+89165.64+103981.8+111087.56</f>
        <v>1322297.72</v>
      </c>
      <c r="AI268" s="52">
        <f t="shared" si="64"/>
        <v>985687.82000000007</v>
      </c>
      <c r="AJ268" s="124">
        <v>0</v>
      </c>
      <c r="AK268" s="45">
        <v>0</v>
      </c>
      <c r="AL268" s="52">
        <f t="shared" si="54"/>
        <v>0</v>
      </c>
      <c r="AM268" s="52">
        <f t="shared" si="63"/>
        <v>2307985.54</v>
      </c>
      <c r="AN268" s="51">
        <f t="shared" si="66"/>
        <v>1322297.72</v>
      </c>
      <c r="AO268" s="51">
        <f t="shared" si="56"/>
        <v>985687.82000000007</v>
      </c>
      <c r="AP268" s="125"/>
      <c r="AQ268" s="52">
        <v>596892.81000000006</v>
      </c>
      <c r="AR268" s="51">
        <f>21914.48+48566.58</f>
        <v>70481.06</v>
      </c>
      <c r="AS268" s="51">
        <f t="shared" si="67"/>
        <v>526411.75</v>
      </c>
      <c r="AT268" s="51">
        <f t="shared" si="65"/>
        <v>987702.28</v>
      </c>
      <c r="AU268" s="48"/>
      <c r="AV268" s="46"/>
    </row>
    <row r="269" spans="1:54" ht="20.25" hidden="1" customHeight="1" x14ac:dyDescent="0.2">
      <c r="A269" s="32">
        <v>636</v>
      </c>
      <c r="B269" s="94" t="s">
        <v>1235</v>
      </c>
      <c r="C269" s="116" t="s">
        <v>1236</v>
      </c>
      <c r="D269" s="107">
        <v>610</v>
      </c>
      <c r="E269" s="256" t="s">
        <v>1237</v>
      </c>
      <c r="F269" s="159">
        <v>2487</v>
      </c>
      <c r="G269" s="159"/>
      <c r="H269" s="67" t="s">
        <v>1166</v>
      </c>
      <c r="I269" s="158">
        <v>6211</v>
      </c>
      <c r="J269" s="107">
        <v>2</v>
      </c>
      <c r="K269" s="39">
        <v>6</v>
      </c>
      <c r="L269" s="152" t="s">
        <v>1122</v>
      </c>
      <c r="M269" s="153" t="s">
        <v>1123</v>
      </c>
      <c r="N269" s="42" t="s">
        <v>76</v>
      </c>
      <c r="O269" s="117" t="s">
        <v>88</v>
      </c>
      <c r="P269" s="67" t="s">
        <v>804</v>
      </c>
      <c r="Q269" s="67" t="s">
        <v>1238</v>
      </c>
      <c r="R269" s="253" t="s">
        <v>1239</v>
      </c>
      <c r="S269" s="52">
        <f t="shared" si="59"/>
        <v>365623.93</v>
      </c>
      <c r="T269" s="52">
        <f>366339.55-715.62</f>
        <v>365623.93</v>
      </c>
      <c r="U269" s="52">
        <v>0</v>
      </c>
      <c r="V269" s="109" t="s">
        <v>1240</v>
      </c>
      <c r="W269" s="154">
        <v>41941</v>
      </c>
      <c r="X269" s="109"/>
      <c r="Y269" s="109" t="s">
        <v>234</v>
      </c>
      <c r="Z269" s="155"/>
      <c r="AA269" s="155"/>
      <c r="AB269" s="155">
        <f t="shared" si="53"/>
        <v>0</v>
      </c>
      <c r="AC269" s="109"/>
      <c r="AD269" s="154"/>
      <c r="AE269" s="51">
        <f t="shared" si="60"/>
        <v>0</v>
      </c>
      <c r="AF269" s="52">
        <f t="shared" si="61"/>
        <v>0</v>
      </c>
      <c r="AG269" s="52">
        <v>365623.93</v>
      </c>
      <c r="AH269" s="52">
        <f>182811.97+182811.96</f>
        <v>365623.93</v>
      </c>
      <c r="AI269" s="52">
        <f t="shared" si="64"/>
        <v>0</v>
      </c>
      <c r="AJ269" s="156">
        <v>0</v>
      </c>
      <c r="AK269" s="155">
        <v>0</v>
      </c>
      <c r="AL269" s="52">
        <f t="shared" si="54"/>
        <v>0</v>
      </c>
      <c r="AM269" s="52">
        <f t="shared" si="63"/>
        <v>365623.93</v>
      </c>
      <c r="AN269" s="51">
        <f t="shared" si="66"/>
        <v>365623.93</v>
      </c>
      <c r="AO269" s="51">
        <f t="shared" si="56"/>
        <v>0</v>
      </c>
      <c r="AP269" s="125" t="s">
        <v>1241</v>
      </c>
      <c r="AQ269" s="52">
        <v>157596.53</v>
      </c>
      <c r="AR269" s="52">
        <v>157596.53</v>
      </c>
      <c r="AS269" s="51">
        <f t="shared" si="67"/>
        <v>0</v>
      </c>
      <c r="AT269" s="126">
        <f t="shared" si="65"/>
        <v>0</v>
      </c>
      <c r="AU269" s="109"/>
      <c r="AV269" s="67"/>
      <c r="AW269" s="4"/>
      <c r="AX269" s="4"/>
      <c r="AY269" s="4"/>
      <c r="AZ269" s="4"/>
      <c r="BA269" s="4"/>
      <c r="BB269" s="4"/>
    </row>
    <row r="270" spans="1:54" ht="20.25" hidden="1" customHeight="1" x14ac:dyDescent="0.2">
      <c r="A270" s="32">
        <v>636</v>
      </c>
      <c r="B270" s="94" t="s">
        <v>1235</v>
      </c>
      <c r="C270" s="116" t="s">
        <v>1236</v>
      </c>
      <c r="D270" s="107">
        <v>611</v>
      </c>
      <c r="E270" s="258"/>
      <c r="F270" s="160"/>
      <c r="G270" s="160"/>
      <c r="H270" s="67" t="s">
        <v>60</v>
      </c>
      <c r="I270" s="158">
        <v>6211</v>
      </c>
      <c r="J270" s="107">
        <v>2</v>
      </c>
      <c r="K270" s="39">
        <v>2</v>
      </c>
      <c r="L270" s="157" t="s">
        <v>61</v>
      </c>
      <c r="M270" s="153" t="s">
        <v>1123</v>
      </c>
      <c r="N270" s="42" t="s">
        <v>76</v>
      </c>
      <c r="O270" s="117" t="s">
        <v>88</v>
      </c>
      <c r="P270" s="67" t="s">
        <v>804</v>
      </c>
      <c r="Q270" s="67" t="s">
        <v>1238</v>
      </c>
      <c r="R270" s="254"/>
      <c r="S270" s="52">
        <f t="shared" si="59"/>
        <v>366339.55</v>
      </c>
      <c r="T270" s="52">
        <v>366339.55</v>
      </c>
      <c r="U270" s="52">
        <v>0</v>
      </c>
      <c r="V270" s="109" t="s">
        <v>1240</v>
      </c>
      <c r="W270" s="154">
        <v>41941</v>
      </c>
      <c r="X270" s="109"/>
      <c r="Y270" s="109" t="s">
        <v>234</v>
      </c>
      <c r="Z270" s="155"/>
      <c r="AA270" s="155"/>
      <c r="AB270" s="155">
        <f t="shared" si="53"/>
        <v>0</v>
      </c>
      <c r="AC270" s="109"/>
      <c r="AD270" s="154"/>
      <c r="AE270" s="51">
        <f t="shared" si="60"/>
        <v>0</v>
      </c>
      <c r="AF270" s="52">
        <f t="shared" si="61"/>
        <v>715.61999999999534</v>
      </c>
      <c r="AG270" s="52">
        <v>365623.93</v>
      </c>
      <c r="AH270" s="52">
        <f>182811.97+182811.96</f>
        <v>365623.93</v>
      </c>
      <c r="AI270" s="52">
        <f t="shared" si="64"/>
        <v>0</v>
      </c>
      <c r="AJ270" s="156">
        <v>0</v>
      </c>
      <c r="AK270" s="155">
        <v>0</v>
      </c>
      <c r="AL270" s="52">
        <f t="shared" si="54"/>
        <v>0</v>
      </c>
      <c r="AM270" s="52">
        <f t="shared" si="63"/>
        <v>365623.93</v>
      </c>
      <c r="AN270" s="51">
        <f t="shared" si="66"/>
        <v>365623.93</v>
      </c>
      <c r="AO270" s="51">
        <f t="shared" si="56"/>
        <v>0</v>
      </c>
      <c r="AP270" s="125" t="s">
        <v>1241</v>
      </c>
      <c r="AQ270" s="52">
        <v>157596.51999999999</v>
      </c>
      <c r="AR270" s="52">
        <v>157596.51999999999</v>
      </c>
      <c r="AS270" s="51">
        <f t="shared" si="67"/>
        <v>0</v>
      </c>
      <c r="AT270" s="126">
        <f t="shared" si="65"/>
        <v>715.61999999999534</v>
      </c>
      <c r="AU270" s="109"/>
      <c r="AV270" s="67"/>
      <c r="AW270" s="4"/>
      <c r="AX270" s="4"/>
      <c r="AY270" s="4"/>
      <c r="AZ270" s="4"/>
      <c r="BA270" s="4"/>
      <c r="BB270" s="4"/>
    </row>
    <row r="271" spans="1:54" ht="26.25" hidden="1" customHeight="1" x14ac:dyDescent="0.2">
      <c r="A271" s="32">
        <v>636</v>
      </c>
      <c r="B271" s="94" t="s">
        <v>1242</v>
      </c>
      <c r="C271" s="116" t="s">
        <v>1243</v>
      </c>
      <c r="D271" s="107">
        <v>608</v>
      </c>
      <c r="E271" s="256" t="s">
        <v>1244</v>
      </c>
      <c r="F271" s="159">
        <v>3427</v>
      </c>
      <c r="G271" s="159"/>
      <c r="H271" s="67" t="s">
        <v>1166</v>
      </c>
      <c r="I271" s="158">
        <v>6211</v>
      </c>
      <c r="J271" s="107">
        <v>2</v>
      </c>
      <c r="K271" s="39">
        <v>6</v>
      </c>
      <c r="L271" s="152" t="s">
        <v>1122</v>
      </c>
      <c r="M271" s="153" t="s">
        <v>1123</v>
      </c>
      <c r="N271" s="42" t="s">
        <v>76</v>
      </c>
      <c r="O271" s="117" t="s">
        <v>88</v>
      </c>
      <c r="P271" s="67" t="s">
        <v>428</v>
      </c>
      <c r="Q271" s="67" t="s">
        <v>1245</v>
      </c>
      <c r="R271" s="254"/>
      <c r="S271" s="52">
        <f t="shared" si="59"/>
        <v>380401.74000000005</v>
      </c>
      <c r="T271" s="52">
        <f>381141.15-739.41</f>
        <v>380401.74000000005</v>
      </c>
      <c r="U271" s="52">
        <v>0</v>
      </c>
      <c r="V271" s="109" t="s">
        <v>1240</v>
      </c>
      <c r="W271" s="154">
        <v>41941</v>
      </c>
      <c r="X271" s="109"/>
      <c r="Y271" s="109" t="s">
        <v>234</v>
      </c>
      <c r="Z271" s="155"/>
      <c r="AA271" s="155"/>
      <c r="AB271" s="155">
        <f t="shared" si="53"/>
        <v>0</v>
      </c>
      <c r="AC271" s="109"/>
      <c r="AD271" s="154"/>
      <c r="AE271" s="51">
        <f t="shared" si="60"/>
        <v>0</v>
      </c>
      <c r="AF271" s="52">
        <f t="shared" si="61"/>
        <v>5.8207660913467407E-11</v>
      </c>
      <c r="AG271" s="52">
        <v>380401.74</v>
      </c>
      <c r="AH271" s="52">
        <f>190200.87+190200.87</f>
        <v>380401.74</v>
      </c>
      <c r="AI271" s="52">
        <f t="shared" si="64"/>
        <v>0</v>
      </c>
      <c r="AJ271" s="156">
        <v>0</v>
      </c>
      <c r="AK271" s="155">
        <v>0</v>
      </c>
      <c r="AL271" s="52">
        <f t="shared" si="54"/>
        <v>0</v>
      </c>
      <c r="AM271" s="52">
        <f t="shared" si="63"/>
        <v>380401.74</v>
      </c>
      <c r="AN271" s="51">
        <f t="shared" si="66"/>
        <v>380401.74</v>
      </c>
      <c r="AO271" s="51">
        <f t="shared" si="56"/>
        <v>0</v>
      </c>
      <c r="AP271" s="125" t="s">
        <v>1241</v>
      </c>
      <c r="AQ271" s="52">
        <v>163966.26999999999</v>
      </c>
      <c r="AR271" s="52">
        <v>163966.26999999999</v>
      </c>
      <c r="AS271" s="51">
        <f t="shared" si="67"/>
        <v>0</v>
      </c>
      <c r="AT271" s="126">
        <f t="shared" si="65"/>
        <v>5.8207660913467407E-11</v>
      </c>
      <c r="AU271" s="109"/>
      <c r="AV271" s="67"/>
      <c r="AW271" s="4"/>
      <c r="AX271" s="4"/>
      <c r="AY271" s="4"/>
      <c r="AZ271" s="4"/>
      <c r="BA271" s="4"/>
      <c r="BB271" s="4"/>
    </row>
    <row r="272" spans="1:54" ht="26.25" hidden="1" customHeight="1" x14ac:dyDescent="0.2">
      <c r="A272" s="32">
        <v>636</v>
      </c>
      <c r="B272" s="94" t="s">
        <v>1242</v>
      </c>
      <c r="C272" s="116" t="s">
        <v>1243</v>
      </c>
      <c r="D272" s="107">
        <v>609</v>
      </c>
      <c r="E272" s="258"/>
      <c r="F272" s="160"/>
      <c r="G272" s="160"/>
      <c r="H272" s="67" t="s">
        <v>60</v>
      </c>
      <c r="I272" s="158">
        <v>6211</v>
      </c>
      <c r="J272" s="107">
        <v>2</v>
      </c>
      <c r="K272" s="39">
        <v>2</v>
      </c>
      <c r="L272" s="157" t="s">
        <v>61</v>
      </c>
      <c r="M272" s="153" t="s">
        <v>1123</v>
      </c>
      <c r="N272" s="42" t="s">
        <v>76</v>
      </c>
      <c r="O272" s="117" t="s">
        <v>88</v>
      </c>
      <c r="P272" s="67" t="s">
        <v>428</v>
      </c>
      <c r="Q272" s="67" t="s">
        <v>1245</v>
      </c>
      <c r="R272" s="254"/>
      <c r="S272" s="52">
        <f t="shared" si="59"/>
        <v>381141.15</v>
      </c>
      <c r="T272" s="52">
        <v>381141.15</v>
      </c>
      <c r="U272" s="52">
        <v>0</v>
      </c>
      <c r="V272" s="109" t="s">
        <v>1240</v>
      </c>
      <c r="W272" s="154">
        <v>41941</v>
      </c>
      <c r="X272" s="109"/>
      <c r="Y272" s="109" t="s">
        <v>234</v>
      </c>
      <c r="Z272" s="155"/>
      <c r="AA272" s="155"/>
      <c r="AB272" s="155">
        <f t="shared" si="53"/>
        <v>0</v>
      </c>
      <c r="AC272" s="109"/>
      <c r="AD272" s="154"/>
      <c r="AE272" s="51">
        <f t="shared" si="60"/>
        <v>0</v>
      </c>
      <c r="AF272" s="52">
        <f t="shared" si="61"/>
        <v>739.4100000000326</v>
      </c>
      <c r="AG272" s="52">
        <v>380401.74</v>
      </c>
      <c r="AH272" s="52">
        <f>190200.86+190200.88</f>
        <v>380401.74</v>
      </c>
      <c r="AI272" s="52">
        <f t="shared" si="64"/>
        <v>0</v>
      </c>
      <c r="AJ272" s="156">
        <v>0</v>
      </c>
      <c r="AK272" s="155">
        <v>0</v>
      </c>
      <c r="AL272" s="52">
        <f t="shared" si="54"/>
        <v>0</v>
      </c>
      <c r="AM272" s="52">
        <f t="shared" si="63"/>
        <v>380401.74</v>
      </c>
      <c r="AN272" s="51">
        <f t="shared" si="66"/>
        <v>380401.74</v>
      </c>
      <c r="AO272" s="51">
        <f t="shared" si="56"/>
        <v>0</v>
      </c>
      <c r="AP272" s="125" t="s">
        <v>1241</v>
      </c>
      <c r="AQ272" s="52">
        <v>163966.26</v>
      </c>
      <c r="AR272" s="52">
        <v>163966.26</v>
      </c>
      <c r="AS272" s="51">
        <f t="shared" si="67"/>
        <v>0</v>
      </c>
      <c r="AT272" s="126">
        <f t="shared" si="65"/>
        <v>739.4100000000326</v>
      </c>
      <c r="AU272" s="109"/>
      <c r="AV272" s="67"/>
      <c r="AW272" s="4"/>
      <c r="AX272" s="4"/>
      <c r="AY272" s="4"/>
      <c r="AZ272" s="4"/>
      <c r="BA272" s="4"/>
      <c r="BB272" s="4"/>
    </row>
    <row r="273" spans="1:54" ht="20.25" hidden="1" customHeight="1" x14ac:dyDescent="0.2">
      <c r="A273" s="32">
        <v>636</v>
      </c>
      <c r="B273" s="94" t="s">
        <v>1246</v>
      </c>
      <c r="C273" s="116" t="s">
        <v>1247</v>
      </c>
      <c r="D273" s="107">
        <v>582</v>
      </c>
      <c r="E273" s="256" t="s">
        <v>1248</v>
      </c>
      <c r="F273" s="159"/>
      <c r="G273" s="159"/>
      <c r="H273" s="67" t="s">
        <v>1166</v>
      </c>
      <c r="I273" s="158">
        <v>6211</v>
      </c>
      <c r="J273" s="107">
        <v>2</v>
      </c>
      <c r="K273" s="39">
        <v>6</v>
      </c>
      <c r="L273" s="152" t="s">
        <v>1122</v>
      </c>
      <c r="M273" s="153" t="s">
        <v>108</v>
      </c>
      <c r="N273" s="42" t="s">
        <v>76</v>
      </c>
      <c r="O273" s="117" t="s">
        <v>88</v>
      </c>
      <c r="P273" s="67" t="s">
        <v>1249</v>
      </c>
      <c r="Q273" s="67" t="s">
        <v>1250</v>
      </c>
      <c r="R273" s="254"/>
      <c r="S273" s="52">
        <f t="shared" si="59"/>
        <v>222023.97</v>
      </c>
      <c r="T273" s="52">
        <v>222023.97</v>
      </c>
      <c r="U273" s="52">
        <v>0</v>
      </c>
      <c r="V273" s="109" t="s">
        <v>1240</v>
      </c>
      <c r="W273" s="154">
        <v>41941</v>
      </c>
      <c r="X273" s="109"/>
      <c r="Y273" s="109" t="s">
        <v>234</v>
      </c>
      <c r="Z273" s="155"/>
      <c r="AA273" s="155"/>
      <c r="AB273" s="155">
        <f t="shared" si="53"/>
        <v>0</v>
      </c>
      <c r="AC273" s="109"/>
      <c r="AD273" s="154"/>
      <c r="AE273" s="51">
        <f t="shared" si="60"/>
        <v>0</v>
      </c>
      <c r="AF273" s="52">
        <f t="shared" si="61"/>
        <v>439.17000000001281</v>
      </c>
      <c r="AG273" s="52">
        <v>221584.8</v>
      </c>
      <c r="AH273" s="52">
        <f>110792.4+110792.4</f>
        <v>221584.8</v>
      </c>
      <c r="AI273" s="52">
        <f t="shared" si="64"/>
        <v>0</v>
      </c>
      <c r="AJ273" s="156">
        <v>0</v>
      </c>
      <c r="AK273" s="155">
        <v>0</v>
      </c>
      <c r="AL273" s="52">
        <f t="shared" si="54"/>
        <v>0</v>
      </c>
      <c r="AM273" s="52">
        <f t="shared" si="63"/>
        <v>221584.8</v>
      </c>
      <c r="AN273" s="51">
        <f t="shared" si="66"/>
        <v>221584.8</v>
      </c>
      <c r="AO273" s="51">
        <f t="shared" si="56"/>
        <v>0</v>
      </c>
      <c r="AP273" s="125" t="s">
        <v>1241</v>
      </c>
      <c r="AQ273" s="52">
        <v>95510.69</v>
      </c>
      <c r="AR273" s="52">
        <v>95510.69</v>
      </c>
      <c r="AS273" s="51">
        <f t="shared" si="67"/>
        <v>0</v>
      </c>
      <c r="AT273" s="126">
        <f t="shared" si="65"/>
        <v>439.17000000001281</v>
      </c>
      <c r="AU273" s="109"/>
      <c r="AV273" s="67"/>
      <c r="AW273" s="4"/>
      <c r="AX273" s="4"/>
      <c r="AY273" s="4"/>
      <c r="AZ273" s="4"/>
      <c r="BA273" s="4"/>
      <c r="BB273" s="4"/>
    </row>
    <row r="274" spans="1:54" ht="20.25" hidden="1" customHeight="1" x14ac:dyDescent="0.2">
      <c r="A274" s="32">
        <v>636</v>
      </c>
      <c r="B274" s="94" t="s">
        <v>1246</v>
      </c>
      <c r="C274" s="116" t="s">
        <v>1247</v>
      </c>
      <c r="D274" s="107">
        <v>583</v>
      </c>
      <c r="E274" s="258"/>
      <c r="F274" s="160"/>
      <c r="G274" s="160"/>
      <c r="H274" s="67" t="s">
        <v>60</v>
      </c>
      <c r="I274" s="158">
        <v>6211</v>
      </c>
      <c r="J274" s="107">
        <v>2</v>
      </c>
      <c r="K274" s="39">
        <v>2</v>
      </c>
      <c r="L274" s="157" t="s">
        <v>61</v>
      </c>
      <c r="M274" s="153" t="s">
        <v>108</v>
      </c>
      <c r="N274" s="42" t="s">
        <v>76</v>
      </c>
      <c r="O274" s="117" t="s">
        <v>88</v>
      </c>
      <c r="P274" s="67" t="s">
        <v>1249</v>
      </c>
      <c r="Q274" s="67" t="s">
        <v>1250</v>
      </c>
      <c r="R274" s="254"/>
      <c r="S274" s="52">
        <f t="shared" si="59"/>
        <v>222023.97</v>
      </c>
      <c r="T274" s="52">
        <v>222023.97</v>
      </c>
      <c r="U274" s="52">
        <v>0</v>
      </c>
      <c r="V274" s="109" t="s">
        <v>1240</v>
      </c>
      <c r="W274" s="154">
        <v>41941</v>
      </c>
      <c r="X274" s="109"/>
      <c r="Y274" s="109" t="s">
        <v>234</v>
      </c>
      <c r="Z274" s="155"/>
      <c r="AA274" s="155"/>
      <c r="AB274" s="155">
        <f t="shared" si="53"/>
        <v>0</v>
      </c>
      <c r="AC274" s="109"/>
      <c r="AD274" s="154"/>
      <c r="AE274" s="51">
        <f t="shared" si="60"/>
        <v>0</v>
      </c>
      <c r="AF274" s="52">
        <f t="shared" si="61"/>
        <v>439.17000000001281</v>
      </c>
      <c r="AG274" s="52">
        <v>221584.8</v>
      </c>
      <c r="AH274" s="52">
        <f>110792.4+110792.4</f>
        <v>221584.8</v>
      </c>
      <c r="AI274" s="52">
        <f t="shared" si="64"/>
        <v>0</v>
      </c>
      <c r="AJ274" s="156">
        <v>0</v>
      </c>
      <c r="AK274" s="155">
        <v>0</v>
      </c>
      <c r="AL274" s="52">
        <f t="shared" si="54"/>
        <v>0</v>
      </c>
      <c r="AM274" s="52">
        <f t="shared" si="63"/>
        <v>221584.8</v>
      </c>
      <c r="AN274" s="51">
        <f t="shared" si="66"/>
        <v>221584.8</v>
      </c>
      <c r="AO274" s="51">
        <f t="shared" si="56"/>
        <v>0</v>
      </c>
      <c r="AP274" s="125" t="s">
        <v>1241</v>
      </c>
      <c r="AQ274" s="52">
        <v>95510.69</v>
      </c>
      <c r="AR274" s="52">
        <v>95510.69</v>
      </c>
      <c r="AS274" s="51">
        <f t="shared" si="67"/>
        <v>0</v>
      </c>
      <c r="AT274" s="126">
        <f t="shared" si="65"/>
        <v>439.17000000001281</v>
      </c>
      <c r="AU274" s="109"/>
      <c r="AV274" s="67"/>
      <c r="AW274" s="4"/>
      <c r="AX274" s="4"/>
      <c r="AY274" s="4"/>
      <c r="AZ274" s="4"/>
      <c r="BA274" s="4"/>
      <c r="BB274" s="4"/>
    </row>
    <row r="275" spans="1:54" ht="26.25" hidden="1" customHeight="1" x14ac:dyDescent="0.2">
      <c r="A275" s="32">
        <v>636</v>
      </c>
      <c r="B275" s="94" t="s">
        <v>1251</v>
      </c>
      <c r="C275" s="116" t="s">
        <v>1252</v>
      </c>
      <c r="D275" s="107">
        <v>578</v>
      </c>
      <c r="E275" s="256" t="s">
        <v>1253</v>
      </c>
      <c r="F275" s="159">
        <v>3427</v>
      </c>
      <c r="G275" s="159"/>
      <c r="H275" s="67" t="s">
        <v>1166</v>
      </c>
      <c r="I275" s="158">
        <v>6211</v>
      </c>
      <c r="J275" s="107">
        <v>2</v>
      </c>
      <c r="K275" s="39">
        <v>6</v>
      </c>
      <c r="L275" s="152" t="s">
        <v>1122</v>
      </c>
      <c r="M275" s="153" t="s">
        <v>1123</v>
      </c>
      <c r="N275" s="42" t="s">
        <v>76</v>
      </c>
      <c r="O275" s="117" t="s">
        <v>88</v>
      </c>
      <c r="P275" s="67" t="s">
        <v>128</v>
      </c>
      <c r="Q275" s="67" t="s">
        <v>1254</v>
      </c>
      <c r="R275" s="254"/>
      <c r="S275" s="52">
        <f t="shared" si="59"/>
        <v>369324.56</v>
      </c>
      <c r="T275" s="52">
        <f>370039.95-715.39</f>
        <v>369324.56</v>
      </c>
      <c r="U275" s="52">
        <v>0</v>
      </c>
      <c r="V275" s="109" t="s">
        <v>1240</v>
      </c>
      <c r="W275" s="154">
        <v>41941</v>
      </c>
      <c r="X275" s="109"/>
      <c r="Y275" s="109" t="s">
        <v>234</v>
      </c>
      <c r="Z275" s="155"/>
      <c r="AA275" s="155"/>
      <c r="AB275" s="155">
        <f t="shared" si="53"/>
        <v>0</v>
      </c>
      <c r="AC275" s="109"/>
      <c r="AD275" s="154"/>
      <c r="AE275" s="51">
        <f t="shared" si="60"/>
        <v>0</v>
      </c>
      <c r="AF275" s="52">
        <f t="shared" si="61"/>
        <v>0</v>
      </c>
      <c r="AG275" s="52">
        <v>369324.56</v>
      </c>
      <c r="AH275" s="52">
        <f>184662.28+184662.28</f>
        <v>369324.56</v>
      </c>
      <c r="AI275" s="52">
        <f t="shared" si="64"/>
        <v>0</v>
      </c>
      <c r="AJ275" s="156">
        <v>0</v>
      </c>
      <c r="AK275" s="155">
        <v>0</v>
      </c>
      <c r="AL275" s="52">
        <f t="shared" si="54"/>
        <v>0</v>
      </c>
      <c r="AM275" s="52">
        <f t="shared" si="63"/>
        <v>369324.56</v>
      </c>
      <c r="AN275" s="51">
        <f t="shared" si="66"/>
        <v>369324.56</v>
      </c>
      <c r="AO275" s="51">
        <f t="shared" si="56"/>
        <v>0</v>
      </c>
      <c r="AP275" s="125" t="s">
        <v>1241</v>
      </c>
      <c r="AQ275" s="52">
        <v>159191.62</v>
      </c>
      <c r="AR275" s="52">
        <v>159191.62</v>
      </c>
      <c r="AS275" s="51">
        <f t="shared" si="67"/>
        <v>0</v>
      </c>
      <c r="AT275" s="126">
        <f t="shared" si="65"/>
        <v>0</v>
      </c>
      <c r="AU275" s="109"/>
      <c r="AV275" s="67"/>
      <c r="AW275" s="4"/>
      <c r="AX275" s="4"/>
      <c r="AY275" s="4"/>
      <c r="AZ275" s="4"/>
      <c r="BA275" s="4"/>
      <c r="BB275" s="4"/>
    </row>
    <row r="276" spans="1:54" ht="26.25" hidden="1" customHeight="1" x14ac:dyDescent="0.2">
      <c r="A276" s="32">
        <v>636</v>
      </c>
      <c r="B276" s="94" t="s">
        <v>1251</v>
      </c>
      <c r="C276" s="116" t="s">
        <v>1252</v>
      </c>
      <c r="D276" s="107">
        <v>579</v>
      </c>
      <c r="E276" s="258"/>
      <c r="F276" s="160"/>
      <c r="G276" s="160"/>
      <c r="H276" s="67" t="s">
        <v>60</v>
      </c>
      <c r="I276" s="158">
        <v>6211</v>
      </c>
      <c r="J276" s="107">
        <v>2</v>
      </c>
      <c r="K276" s="39">
        <v>2</v>
      </c>
      <c r="L276" s="157" t="s">
        <v>61</v>
      </c>
      <c r="M276" s="153" t="s">
        <v>1123</v>
      </c>
      <c r="N276" s="42" t="s">
        <v>76</v>
      </c>
      <c r="O276" s="117" t="s">
        <v>88</v>
      </c>
      <c r="P276" s="67" t="s">
        <v>128</v>
      </c>
      <c r="Q276" s="67" t="s">
        <v>1254</v>
      </c>
      <c r="R276" s="255"/>
      <c r="S276" s="52">
        <f t="shared" si="59"/>
        <v>370039.95</v>
      </c>
      <c r="T276" s="52">
        <v>370039.95</v>
      </c>
      <c r="U276" s="52">
        <v>0</v>
      </c>
      <c r="V276" s="109" t="s">
        <v>1240</v>
      </c>
      <c r="W276" s="154">
        <v>41941</v>
      </c>
      <c r="X276" s="109"/>
      <c r="Y276" s="109" t="s">
        <v>234</v>
      </c>
      <c r="Z276" s="155"/>
      <c r="AA276" s="155"/>
      <c r="AB276" s="155">
        <f t="shared" si="53"/>
        <v>0</v>
      </c>
      <c r="AC276" s="109"/>
      <c r="AD276" s="154"/>
      <c r="AE276" s="51">
        <f t="shared" si="60"/>
        <v>0</v>
      </c>
      <c r="AF276" s="52">
        <f t="shared" si="61"/>
        <v>715.39000000001397</v>
      </c>
      <c r="AG276" s="52">
        <v>369324.56</v>
      </c>
      <c r="AH276" s="52">
        <f>184662.27+184662.29</f>
        <v>369324.56</v>
      </c>
      <c r="AI276" s="52">
        <f t="shared" si="64"/>
        <v>0</v>
      </c>
      <c r="AJ276" s="156">
        <v>0</v>
      </c>
      <c r="AK276" s="155">
        <v>0</v>
      </c>
      <c r="AL276" s="52">
        <f t="shared" si="54"/>
        <v>0</v>
      </c>
      <c r="AM276" s="52">
        <f t="shared" si="63"/>
        <v>369324.56</v>
      </c>
      <c r="AN276" s="51">
        <f t="shared" si="66"/>
        <v>369324.56</v>
      </c>
      <c r="AO276" s="51">
        <f t="shared" si="56"/>
        <v>0</v>
      </c>
      <c r="AP276" s="125" t="s">
        <v>1241</v>
      </c>
      <c r="AQ276" s="52">
        <v>159191.60999999999</v>
      </c>
      <c r="AR276" s="52">
        <v>159191.60999999999</v>
      </c>
      <c r="AS276" s="51">
        <f t="shared" si="67"/>
        <v>0</v>
      </c>
      <c r="AT276" s="126">
        <f t="shared" si="65"/>
        <v>715.39000000001397</v>
      </c>
      <c r="AU276" s="109"/>
      <c r="AV276" s="67"/>
      <c r="AW276" s="4"/>
      <c r="AX276" s="4"/>
      <c r="AY276" s="4"/>
      <c r="AZ276" s="4"/>
      <c r="BA276" s="4"/>
      <c r="BB276" s="4"/>
    </row>
    <row r="277" spans="1:54" ht="26.25" hidden="1" customHeight="1" x14ac:dyDescent="0.2">
      <c r="A277" s="32">
        <v>636</v>
      </c>
      <c r="B277" s="127" t="s">
        <v>1255</v>
      </c>
      <c r="C277" s="116" t="s">
        <v>1256</v>
      </c>
      <c r="D277" s="107">
        <v>594</v>
      </c>
      <c r="E277" s="256" t="s">
        <v>1257</v>
      </c>
      <c r="F277" s="159"/>
      <c r="G277" s="159">
        <v>1</v>
      </c>
      <c r="H277" s="67" t="s">
        <v>1166</v>
      </c>
      <c r="I277" s="158">
        <v>6211</v>
      </c>
      <c r="J277" s="107">
        <v>2</v>
      </c>
      <c r="K277" s="39">
        <v>6</v>
      </c>
      <c r="L277" s="152" t="s">
        <v>1122</v>
      </c>
      <c r="M277" s="153" t="s">
        <v>1123</v>
      </c>
      <c r="N277" s="42" t="s">
        <v>76</v>
      </c>
      <c r="O277" s="117" t="s">
        <v>88</v>
      </c>
      <c r="P277" s="67" t="s">
        <v>1152</v>
      </c>
      <c r="Q277" s="67" t="s">
        <v>616</v>
      </c>
      <c r="R277" s="253" t="s">
        <v>1258</v>
      </c>
      <c r="S277" s="52">
        <f t="shared" si="59"/>
        <v>373740.35</v>
      </c>
      <c r="T277" s="52">
        <v>373740.35</v>
      </c>
      <c r="U277" s="52">
        <v>0</v>
      </c>
      <c r="V277" s="109" t="s">
        <v>1240</v>
      </c>
      <c r="W277" s="154">
        <v>41941</v>
      </c>
      <c r="X277" s="109"/>
      <c r="Y277" s="109" t="s">
        <v>234</v>
      </c>
      <c r="Z277" s="155"/>
      <c r="AA277" s="155"/>
      <c r="AB277" s="155">
        <f t="shared" ref="AB277:AB298" si="68">Z277-AA277</f>
        <v>0</v>
      </c>
      <c r="AC277" s="109"/>
      <c r="AD277" s="154"/>
      <c r="AE277" s="51">
        <f t="shared" si="60"/>
        <v>0</v>
      </c>
      <c r="AF277" s="52">
        <f t="shared" si="61"/>
        <v>1024.5799999999581</v>
      </c>
      <c r="AG277" s="52">
        <v>372715.77</v>
      </c>
      <c r="AH277" s="52">
        <f>186357.89+186357.88</f>
        <v>372715.77</v>
      </c>
      <c r="AI277" s="52">
        <f t="shared" si="64"/>
        <v>0</v>
      </c>
      <c r="AJ277" s="163">
        <v>0</v>
      </c>
      <c r="AK277" s="52">
        <v>0</v>
      </c>
      <c r="AL277" s="52">
        <f t="shared" ref="AL277:AL332" si="69">+AJ277-AK277</f>
        <v>0</v>
      </c>
      <c r="AM277" s="52">
        <f t="shared" si="63"/>
        <v>372715.77</v>
      </c>
      <c r="AN277" s="51">
        <f t="shared" si="66"/>
        <v>372715.77</v>
      </c>
      <c r="AO277" s="51">
        <f t="shared" ref="AO277:AO332" si="70">+AM277-AN277</f>
        <v>0</v>
      </c>
      <c r="AP277" s="125" t="s">
        <v>1241</v>
      </c>
      <c r="AQ277" s="52">
        <v>160653.35</v>
      </c>
      <c r="AR277" s="52">
        <v>160653.35</v>
      </c>
      <c r="AS277" s="51">
        <f t="shared" si="67"/>
        <v>0</v>
      </c>
      <c r="AT277" s="126">
        <f t="shared" si="65"/>
        <v>1024.5799999999581</v>
      </c>
      <c r="AU277" s="109"/>
      <c r="AV277" s="67"/>
      <c r="AW277" s="4"/>
      <c r="AX277" s="4"/>
      <c r="AY277" s="4"/>
      <c r="AZ277" s="4"/>
      <c r="BA277" s="4"/>
      <c r="BB277" s="4"/>
    </row>
    <row r="278" spans="1:54" ht="26.25" hidden="1" customHeight="1" x14ac:dyDescent="0.2">
      <c r="A278" s="32">
        <v>636</v>
      </c>
      <c r="B278" s="94" t="s">
        <v>1255</v>
      </c>
      <c r="C278" s="116" t="s">
        <v>1256</v>
      </c>
      <c r="D278" s="107">
        <v>595</v>
      </c>
      <c r="E278" s="258"/>
      <c r="F278" s="160"/>
      <c r="G278" s="160">
        <v>1</v>
      </c>
      <c r="H278" s="67" t="s">
        <v>60</v>
      </c>
      <c r="I278" s="158">
        <v>6211</v>
      </c>
      <c r="J278" s="107">
        <v>2</v>
      </c>
      <c r="K278" s="39">
        <v>2</v>
      </c>
      <c r="L278" s="157" t="s">
        <v>61</v>
      </c>
      <c r="M278" s="153" t="s">
        <v>1123</v>
      </c>
      <c r="N278" s="42" t="s">
        <v>76</v>
      </c>
      <c r="O278" s="117" t="s">
        <v>88</v>
      </c>
      <c r="P278" s="67" t="s">
        <v>1152</v>
      </c>
      <c r="Q278" s="67" t="s">
        <v>616</v>
      </c>
      <c r="R278" s="254"/>
      <c r="S278" s="52">
        <f t="shared" si="59"/>
        <v>373740.34</v>
      </c>
      <c r="T278" s="52">
        <v>373740.34</v>
      </c>
      <c r="U278" s="52">
        <v>0</v>
      </c>
      <c r="V278" s="109" t="s">
        <v>1240</v>
      </c>
      <c r="W278" s="154">
        <v>41941</v>
      </c>
      <c r="X278" s="109"/>
      <c r="Y278" s="109" t="s">
        <v>234</v>
      </c>
      <c r="Z278" s="155"/>
      <c r="AA278" s="155"/>
      <c r="AB278" s="155">
        <f t="shared" si="68"/>
        <v>0</v>
      </c>
      <c r="AC278" s="109"/>
      <c r="AD278" s="154"/>
      <c r="AE278" s="51">
        <f t="shared" si="60"/>
        <v>0</v>
      </c>
      <c r="AF278" s="52">
        <f t="shared" si="61"/>
        <v>1024.570000000007</v>
      </c>
      <c r="AG278" s="52">
        <v>372715.77</v>
      </c>
      <c r="AH278" s="52">
        <f>186357.88+186357.89</f>
        <v>372715.77</v>
      </c>
      <c r="AI278" s="52">
        <f t="shared" si="64"/>
        <v>0</v>
      </c>
      <c r="AJ278" s="156">
        <v>0</v>
      </c>
      <c r="AK278" s="155">
        <v>0</v>
      </c>
      <c r="AL278" s="52">
        <f t="shared" si="69"/>
        <v>0</v>
      </c>
      <c r="AM278" s="52">
        <f t="shared" si="63"/>
        <v>372715.77</v>
      </c>
      <c r="AN278" s="51">
        <f t="shared" si="66"/>
        <v>372715.77</v>
      </c>
      <c r="AO278" s="51">
        <f t="shared" si="70"/>
        <v>0</v>
      </c>
      <c r="AP278" s="125" t="s">
        <v>1241</v>
      </c>
      <c r="AQ278" s="52">
        <v>160653.35</v>
      </c>
      <c r="AR278" s="52">
        <v>160653.35</v>
      </c>
      <c r="AS278" s="51">
        <f t="shared" si="67"/>
        <v>0</v>
      </c>
      <c r="AT278" s="126">
        <f t="shared" si="65"/>
        <v>1024.570000000007</v>
      </c>
      <c r="AU278" s="109"/>
      <c r="AV278" s="67"/>
      <c r="AW278" s="4"/>
      <c r="AX278" s="4"/>
      <c r="AY278" s="4"/>
      <c r="AZ278" s="4"/>
      <c r="BA278" s="4"/>
      <c r="BB278" s="4"/>
    </row>
    <row r="279" spans="1:54" ht="26.25" hidden="1" customHeight="1" x14ac:dyDescent="0.2">
      <c r="A279" s="32">
        <v>636</v>
      </c>
      <c r="B279" s="94" t="s">
        <v>1259</v>
      </c>
      <c r="C279" s="116" t="s">
        <v>1260</v>
      </c>
      <c r="D279" s="107">
        <v>592</v>
      </c>
      <c r="E279" s="256" t="s">
        <v>1261</v>
      </c>
      <c r="F279" s="159">
        <v>3427</v>
      </c>
      <c r="G279" s="159"/>
      <c r="H279" s="67" t="s">
        <v>1166</v>
      </c>
      <c r="I279" s="158">
        <v>6211</v>
      </c>
      <c r="J279" s="107">
        <v>2</v>
      </c>
      <c r="K279" s="39">
        <v>6</v>
      </c>
      <c r="L279" s="152" t="s">
        <v>1122</v>
      </c>
      <c r="M279" s="153" t="s">
        <v>1123</v>
      </c>
      <c r="N279" s="42" t="s">
        <v>76</v>
      </c>
      <c r="O279" s="117" t="s">
        <v>88</v>
      </c>
      <c r="P279" s="67" t="s">
        <v>724</v>
      </c>
      <c r="Q279" s="67" t="s">
        <v>1262</v>
      </c>
      <c r="R279" s="254"/>
      <c r="S279" s="52">
        <f t="shared" si="59"/>
        <v>221403.29</v>
      </c>
      <c r="T279" s="52">
        <f>222023.97-620.68</f>
        <v>221403.29</v>
      </c>
      <c r="U279" s="52">
        <v>0</v>
      </c>
      <c r="V279" s="109" t="s">
        <v>1240</v>
      </c>
      <c r="W279" s="154">
        <v>41941</v>
      </c>
      <c r="X279" s="109"/>
      <c r="Y279" s="109" t="s">
        <v>234</v>
      </c>
      <c r="Z279" s="155"/>
      <c r="AA279" s="155"/>
      <c r="AB279" s="155">
        <f t="shared" si="68"/>
        <v>0</v>
      </c>
      <c r="AC279" s="109"/>
      <c r="AD279" s="154"/>
      <c r="AE279" s="51">
        <f t="shared" si="60"/>
        <v>0</v>
      </c>
      <c r="AF279" s="52">
        <f t="shared" si="61"/>
        <v>0</v>
      </c>
      <c r="AG279" s="52">
        <v>221403.29</v>
      </c>
      <c r="AH279" s="52">
        <f>110701.65+110701.64</f>
        <v>221403.28999999998</v>
      </c>
      <c r="AI279" s="52">
        <f t="shared" si="64"/>
        <v>2.9103830456733704E-11</v>
      </c>
      <c r="AJ279" s="156">
        <v>0</v>
      </c>
      <c r="AK279" s="155">
        <v>0</v>
      </c>
      <c r="AL279" s="52">
        <f t="shared" si="69"/>
        <v>0</v>
      </c>
      <c r="AM279" s="52">
        <f t="shared" si="63"/>
        <v>221403.29</v>
      </c>
      <c r="AN279" s="51">
        <f t="shared" si="66"/>
        <v>221403.28999999998</v>
      </c>
      <c r="AO279" s="51">
        <f t="shared" si="70"/>
        <v>0</v>
      </c>
      <c r="AP279" s="125" t="s">
        <v>1241</v>
      </c>
      <c r="AQ279" s="52">
        <v>95432.45</v>
      </c>
      <c r="AR279" s="52">
        <v>95432.45</v>
      </c>
      <c r="AS279" s="51">
        <f t="shared" si="67"/>
        <v>0</v>
      </c>
      <c r="AT279" s="126">
        <f t="shared" si="65"/>
        <v>2.9103830456733704E-11</v>
      </c>
      <c r="AU279" s="109"/>
      <c r="AV279" s="67"/>
      <c r="AW279" s="4"/>
      <c r="AX279" s="4"/>
      <c r="AY279" s="4"/>
      <c r="AZ279" s="4"/>
      <c r="BA279" s="4"/>
      <c r="BB279" s="4"/>
    </row>
    <row r="280" spans="1:54" ht="26.25" hidden="1" customHeight="1" x14ac:dyDescent="0.2">
      <c r="A280" s="32">
        <v>636</v>
      </c>
      <c r="B280" s="94" t="s">
        <v>1259</v>
      </c>
      <c r="C280" s="116" t="s">
        <v>1260</v>
      </c>
      <c r="D280" s="107">
        <v>593</v>
      </c>
      <c r="E280" s="258"/>
      <c r="F280" s="160"/>
      <c r="G280" s="160"/>
      <c r="H280" s="67" t="s">
        <v>60</v>
      </c>
      <c r="I280" s="158">
        <v>6211</v>
      </c>
      <c r="J280" s="107">
        <v>2</v>
      </c>
      <c r="K280" s="39">
        <v>2</v>
      </c>
      <c r="L280" s="157" t="s">
        <v>61</v>
      </c>
      <c r="M280" s="153" t="s">
        <v>1123</v>
      </c>
      <c r="N280" s="42" t="s">
        <v>76</v>
      </c>
      <c r="O280" s="117" t="s">
        <v>88</v>
      </c>
      <c r="P280" s="67" t="s">
        <v>724</v>
      </c>
      <c r="Q280" s="67" t="s">
        <v>1262</v>
      </c>
      <c r="R280" s="254"/>
      <c r="S280" s="52">
        <f t="shared" si="59"/>
        <v>222023.97</v>
      </c>
      <c r="T280" s="52">
        <v>222023.97</v>
      </c>
      <c r="U280" s="52">
        <v>0</v>
      </c>
      <c r="V280" s="109" t="s">
        <v>1240</v>
      </c>
      <c r="W280" s="154">
        <v>41941</v>
      </c>
      <c r="X280" s="109"/>
      <c r="Y280" s="109" t="s">
        <v>234</v>
      </c>
      <c r="Z280" s="155"/>
      <c r="AA280" s="155"/>
      <c r="AB280" s="155">
        <f t="shared" si="68"/>
        <v>0</v>
      </c>
      <c r="AC280" s="109"/>
      <c r="AD280" s="154"/>
      <c r="AE280" s="51">
        <f t="shared" si="60"/>
        <v>0</v>
      </c>
      <c r="AF280" s="52">
        <f t="shared" si="61"/>
        <v>620.69000000000233</v>
      </c>
      <c r="AG280" s="52">
        <v>221403.28</v>
      </c>
      <c r="AH280" s="52">
        <f>110701.64+110701.64</f>
        <v>221403.28</v>
      </c>
      <c r="AI280" s="52">
        <f t="shared" si="64"/>
        <v>0</v>
      </c>
      <c r="AJ280" s="156">
        <v>0</v>
      </c>
      <c r="AK280" s="155">
        <v>0</v>
      </c>
      <c r="AL280" s="52">
        <f t="shared" si="69"/>
        <v>0</v>
      </c>
      <c r="AM280" s="52">
        <f t="shared" si="63"/>
        <v>221403.28</v>
      </c>
      <c r="AN280" s="51">
        <f t="shared" si="66"/>
        <v>221403.28</v>
      </c>
      <c r="AO280" s="51">
        <f t="shared" si="70"/>
        <v>0</v>
      </c>
      <c r="AP280" s="125" t="s">
        <v>1241</v>
      </c>
      <c r="AQ280" s="52">
        <v>95432.45</v>
      </c>
      <c r="AR280" s="52">
        <v>95432.45</v>
      </c>
      <c r="AS280" s="51">
        <f t="shared" si="67"/>
        <v>0</v>
      </c>
      <c r="AT280" s="126">
        <f t="shared" si="65"/>
        <v>620.69000000000233</v>
      </c>
      <c r="AU280" s="109"/>
      <c r="AV280" s="67"/>
      <c r="AW280" s="4"/>
      <c r="AX280" s="4"/>
      <c r="AY280" s="4"/>
      <c r="AZ280" s="4"/>
      <c r="BA280" s="4"/>
      <c r="BB280" s="4"/>
    </row>
    <row r="281" spans="1:54" ht="26.25" hidden="1" customHeight="1" x14ac:dyDescent="0.2">
      <c r="A281" s="32">
        <v>636</v>
      </c>
      <c r="B281" s="94" t="s">
        <v>1263</v>
      </c>
      <c r="C281" s="116" t="s">
        <v>1264</v>
      </c>
      <c r="D281" s="107">
        <v>580</v>
      </c>
      <c r="E281" s="256" t="s">
        <v>1265</v>
      </c>
      <c r="F281" s="159">
        <v>3427</v>
      </c>
      <c r="G281" s="159"/>
      <c r="H281" s="67" t="s">
        <v>1166</v>
      </c>
      <c r="I281" s="158">
        <v>6211</v>
      </c>
      <c r="J281" s="107">
        <v>2</v>
      </c>
      <c r="K281" s="39">
        <v>6</v>
      </c>
      <c r="L281" s="152" t="s">
        <v>1122</v>
      </c>
      <c r="M281" s="153" t="s">
        <v>1123</v>
      </c>
      <c r="N281" s="42" t="s">
        <v>76</v>
      </c>
      <c r="O281" s="117" t="s">
        <v>88</v>
      </c>
      <c r="P281" s="67" t="s">
        <v>786</v>
      </c>
      <c r="Q281" s="67" t="s">
        <v>1266</v>
      </c>
      <c r="R281" s="254"/>
      <c r="S281" s="52">
        <f t="shared" si="59"/>
        <v>55353.729999999996</v>
      </c>
      <c r="T281" s="52">
        <f>55505.99-152.26</f>
        <v>55353.729999999996</v>
      </c>
      <c r="U281" s="52">
        <v>0</v>
      </c>
      <c r="V281" s="109" t="s">
        <v>1240</v>
      </c>
      <c r="W281" s="154">
        <v>41941</v>
      </c>
      <c r="X281" s="109"/>
      <c r="Y281" s="109" t="s">
        <v>234</v>
      </c>
      <c r="Z281" s="155"/>
      <c r="AA281" s="155"/>
      <c r="AB281" s="155">
        <f t="shared" si="68"/>
        <v>0</v>
      </c>
      <c r="AC281" s="109"/>
      <c r="AD281" s="154"/>
      <c r="AE281" s="51">
        <f t="shared" si="60"/>
        <v>0</v>
      </c>
      <c r="AF281" s="52">
        <f t="shared" si="61"/>
        <v>-7.2759576141834259E-12</v>
      </c>
      <c r="AG281" s="52">
        <v>55353.73</v>
      </c>
      <c r="AH281" s="52">
        <f>27676.86+27676.87</f>
        <v>55353.729999999996</v>
      </c>
      <c r="AI281" s="52">
        <f t="shared" si="64"/>
        <v>7.2759576141834259E-12</v>
      </c>
      <c r="AJ281" s="156">
        <v>0</v>
      </c>
      <c r="AK281" s="155">
        <v>0</v>
      </c>
      <c r="AL281" s="52">
        <f t="shared" si="69"/>
        <v>0</v>
      </c>
      <c r="AM281" s="52">
        <f t="shared" si="63"/>
        <v>55353.73</v>
      </c>
      <c r="AN281" s="51">
        <f t="shared" si="66"/>
        <v>55353.729999999996</v>
      </c>
      <c r="AO281" s="51">
        <f t="shared" si="70"/>
        <v>0</v>
      </c>
      <c r="AP281" s="125" t="s">
        <v>1241</v>
      </c>
      <c r="AQ281" s="52">
        <v>23859.360000000001</v>
      </c>
      <c r="AR281" s="52">
        <v>23859.360000000001</v>
      </c>
      <c r="AS281" s="51">
        <f t="shared" si="67"/>
        <v>0</v>
      </c>
      <c r="AT281" s="126">
        <f t="shared" si="65"/>
        <v>0</v>
      </c>
      <c r="AU281" s="109"/>
      <c r="AV281" s="67"/>
      <c r="AW281" s="4"/>
      <c r="AX281" s="4"/>
      <c r="AY281" s="4"/>
      <c r="AZ281" s="4"/>
      <c r="BA281" s="4"/>
      <c r="BB281" s="4"/>
    </row>
    <row r="282" spans="1:54" ht="26.25" hidden="1" customHeight="1" x14ac:dyDescent="0.2">
      <c r="A282" s="32">
        <v>636</v>
      </c>
      <c r="B282" s="94" t="s">
        <v>1263</v>
      </c>
      <c r="C282" s="116" t="s">
        <v>1264</v>
      </c>
      <c r="D282" s="107">
        <v>581</v>
      </c>
      <c r="E282" s="258"/>
      <c r="F282" s="160"/>
      <c r="G282" s="160"/>
      <c r="H282" s="67" t="s">
        <v>60</v>
      </c>
      <c r="I282" s="158">
        <v>6211</v>
      </c>
      <c r="J282" s="107">
        <v>2</v>
      </c>
      <c r="K282" s="39">
        <v>2</v>
      </c>
      <c r="L282" s="157" t="s">
        <v>61</v>
      </c>
      <c r="M282" s="153" t="s">
        <v>1123</v>
      </c>
      <c r="N282" s="42" t="s">
        <v>76</v>
      </c>
      <c r="O282" s="117" t="s">
        <v>88</v>
      </c>
      <c r="P282" s="67" t="s">
        <v>786</v>
      </c>
      <c r="Q282" s="67" t="s">
        <v>1266</v>
      </c>
      <c r="R282" s="254"/>
      <c r="S282" s="52">
        <f t="shared" si="59"/>
        <v>55505.99</v>
      </c>
      <c r="T282" s="52">
        <v>55505.99</v>
      </c>
      <c r="U282" s="52">
        <v>0</v>
      </c>
      <c r="V282" s="109" t="s">
        <v>1240</v>
      </c>
      <c r="W282" s="154">
        <v>41941</v>
      </c>
      <c r="X282" s="109"/>
      <c r="Y282" s="109" t="s">
        <v>234</v>
      </c>
      <c r="Z282" s="155"/>
      <c r="AA282" s="155"/>
      <c r="AB282" s="155">
        <f t="shared" si="68"/>
        <v>0</v>
      </c>
      <c r="AC282" s="109"/>
      <c r="AD282" s="154"/>
      <c r="AE282" s="51">
        <f t="shared" si="60"/>
        <v>0</v>
      </c>
      <c r="AF282" s="52">
        <f t="shared" si="61"/>
        <v>152.2699999999968</v>
      </c>
      <c r="AG282" s="52">
        <v>55353.72</v>
      </c>
      <c r="AH282" s="52">
        <f>27676.86+27676.86</f>
        <v>55353.72</v>
      </c>
      <c r="AI282" s="52">
        <f t="shared" si="64"/>
        <v>0</v>
      </c>
      <c r="AJ282" s="156">
        <v>0</v>
      </c>
      <c r="AK282" s="155">
        <v>0</v>
      </c>
      <c r="AL282" s="52">
        <f t="shared" si="69"/>
        <v>0</v>
      </c>
      <c r="AM282" s="52">
        <f t="shared" si="63"/>
        <v>55353.72</v>
      </c>
      <c r="AN282" s="51">
        <f t="shared" si="66"/>
        <v>55353.72</v>
      </c>
      <c r="AO282" s="51">
        <f t="shared" si="70"/>
        <v>0</v>
      </c>
      <c r="AP282" s="125" t="s">
        <v>1241</v>
      </c>
      <c r="AQ282" s="52">
        <v>23859.37</v>
      </c>
      <c r="AR282" s="52">
        <v>23859.37</v>
      </c>
      <c r="AS282" s="51">
        <f t="shared" si="67"/>
        <v>0</v>
      </c>
      <c r="AT282" s="126">
        <f t="shared" si="65"/>
        <v>152.2699999999968</v>
      </c>
      <c r="AU282" s="109"/>
      <c r="AV282" s="67"/>
      <c r="AW282" s="4"/>
      <c r="AX282" s="4"/>
      <c r="AY282" s="4"/>
      <c r="AZ282" s="4"/>
      <c r="BA282" s="4"/>
      <c r="BB282" s="4"/>
    </row>
    <row r="283" spans="1:54" ht="26.25" hidden="1" customHeight="1" x14ac:dyDescent="0.2">
      <c r="A283" s="32">
        <v>636</v>
      </c>
      <c r="B283" s="94" t="s">
        <v>1267</v>
      </c>
      <c r="C283" s="116" t="s">
        <v>1268</v>
      </c>
      <c r="D283" s="107"/>
      <c r="E283" s="256" t="s">
        <v>1269</v>
      </c>
      <c r="F283" s="159">
        <v>3427</v>
      </c>
      <c r="G283" s="82"/>
      <c r="H283" s="67" t="s">
        <v>1166</v>
      </c>
      <c r="I283" s="158">
        <v>6211</v>
      </c>
      <c r="J283" s="107">
        <v>2</v>
      </c>
      <c r="K283" s="39">
        <v>6</v>
      </c>
      <c r="L283" s="152" t="s">
        <v>1122</v>
      </c>
      <c r="M283" s="153" t="s">
        <v>1123</v>
      </c>
      <c r="N283" s="42" t="s">
        <v>76</v>
      </c>
      <c r="O283" s="117" t="s">
        <v>88</v>
      </c>
      <c r="P283" s="67" t="s">
        <v>434</v>
      </c>
      <c r="Q283" s="67" t="s">
        <v>675</v>
      </c>
      <c r="R283" s="254"/>
      <c r="S283" s="52">
        <f t="shared" si="59"/>
        <v>461121.8</v>
      </c>
      <c r="T283" s="52">
        <f>462549.93-1428.13</f>
        <v>461121.8</v>
      </c>
      <c r="U283" s="52">
        <v>0</v>
      </c>
      <c r="V283" s="109" t="s">
        <v>1270</v>
      </c>
      <c r="W283" s="154">
        <v>41978</v>
      </c>
      <c r="X283" s="109"/>
      <c r="Y283" s="109" t="s">
        <v>234</v>
      </c>
      <c r="Z283" s="155"/>
      <c r="AA283" s="155"/>
      <c r="AB283" s="155">
        <f t="shared" si="68"/>
        <v>0</v>
      </c>
      <c r="AC283" s="109"/>
      <c r="AD283" s="154"/>
      <c r="AE283" s="51">
        <f t="shared" si="60"/>
        <v>0</v>
      </c>
      <c r="AF283" s="52">
        <f t="shared" si="61"/>
        <v>0</v>
      </c>
      <c r="AG283" s="52">
        <v>461121.8</v>
      </c>
      <c r="AH283" s="52">
        <f>230560.9+230560.9</f>
        <v>461121.8</v>
      </c>
      <c r="AI283" s="52">
        <f t="shared" si="64"/>
        <v>0</v>
      </c>
      <c r="AJ283" s="156">
        <v>0</v>
      </c>
      <c r="AK283" s="155">
        <v>0</v>
      </c>
      <c r="AL283" s="52">
        <f t="shared" si="69"/>
        <v>0</v>
      </c>
      <c r="AM283" s="52">
        <f t="shared" si="63"/>
        <v>461121.8</v>
      </c>
      <c r="AN283" s="51">
        <f t="shared" si="66"/>
        <v>461121.8</v>
      </c>
      <c r="AO283" s="51">
        <f t="shared" si="70"/>
        <v>0</v>
      </c>
      <c r="AP283" s="125" t="s">
        <v>1241</v>
      </c>
      <c r="AQ283" s="52">
        <v>198759.4</v>
      </c>
      <c r="AR283" s="52">
        <v>198759.4</v>
      </c>
      <c r="AS283" s="51">
        <f t="shared" si="67"/>
        <v>0</v>
      </c>
      <c r="AT283" s="126">
        <f t="shared" si="65"/>
        <v>0</v>
      </c>
      <c r="AU283" s="109"/>
      <c r="AV283" s="67"/>
      <c r="AW283" s="4"/>
      <c r="AX283" s="4"/>
      <c r="AY283" s="4"/>
      <c r="AZ283" s="4"/>
      <c r="BA283" s="4"/>
      <c r="BB283" s="4"/>
    </row>
    <row r="284" spans="1:54" ht="26.25" hidden="1" customHeight="1" x14ac:dyDescent="0.2">
      <c r="A284" s="32">
        <v>636</v>
      </c>
      <c r="B284" s="94" t="s">
        <v>1267</v>
      </c>
      <c r="C284" s="116" t="s">
        <v>1268</v>
      </c>
      <c r="D284" s="107"/>
      <c r="E284" s="258"/>
      <c r="F284" s="36"/>
      <c r="G284" s="36"/>
      <c r="H284" s="67" t="s">
        <v>60</v>
      </c>
      <c r="I284" s="158">
        <v>6211</v>
      </c>
      <c r="J284" s="107">
        <v>2</v>
      </c>
      <c r="K284" s="39">
        <v>2</v>
      </c>
      <c r="L284" s="157" t="s">
        <v>61</v>
      </c>
      <c r="M284" s="153" t="s">
        <v>1123</v>
      </c>
      <c r="N284" s="42" t="s">
        <v>76</v>
      </c>
      <c r="O284" s="117" t="s">
        <v>88</v>
      </c>
      <c r="P284" s="67" t="s">
        <v>434</v>
      </c>
      <c r="Q284" s="67" t="s">
        <v>675</v>
      </c>
      <c r="R284" s="255"/>
      <c r="S284" s="52">
        <f t="shared" si="59"/>
        <v>462549.93</v>
      </c>
      <c r="T284" s="52">
        <v>462549.93</v>
      </c>
      <c r="U284" s="52">
        <v>0</v>
      </c>
      <c r="V284" s="109" t="s">
        <v>1270</v>
      </c>
      <c r="W284" s="154">
        <v>41978</v>
      </c>
      <c r="X284" s="109"/>
      <c r="Y284" s="109" t="s">
        <v>234</v>
      </c>
      <c r="Z284" s="155"/>
      <c r="AA284" s="155"/>
      <c r="AB284" s="155">
        <f t="shared" si="68"/>
        <v>0</v>
      </c>
      <c r="AC284" s="109"/>
      <c r="AD284" s="154"/>
      <c r="AE284" s="51">
        <f t="shared" si="60"/>
        <v>0</v>
      </c>
      <c r="AF284" s="52">
        <f t="shared" si="61"/>
        <v>1428.1300000000047</v>
      </c>
      <c r="AG284" s="52">
        <v>461121.8</v>
      </c>
      <c r="AH284" s="52">
        <f>230560.9+230560.9</f>
        <v>461121.8</v>
      </c>
      <c r="AI284" s="52">
        <f t="shared" si="64"/>
        <v>0</v>
      </c>
      <c r="AJ284" s="156">
        <v>0</v>
      </c>
      <c r="AK284" s="155">
        <v>0</v>
      </c>
      <c r="AL284" s="52">
        <f t="shared" si="69"/>
        <v>0</v>
      </c>
      <c r="AM284" s="52">
        <f t="shared" si="63"/>
        <v>461121.8</v>
      </c>
      <c r="AN284" s="51">
        <f t="shared" si="66"/>
        <v>461121.8</v>
      </c>
      <c r="AO284" s="51">
        <f t="shared" si="70"/>
        <v>0</v>
      </c>
      <c r="AP284" s="125" t="s">
        <v>1241</v>
      </c>
      <c r="AQ284" s="52">
        <v>198759.39</v>
      </c>
      <c r="AR284" s="52">
        <v>198759.39</v>
      </c>
      <c r="AS284" s="51">
        <f t="shared" si="67"/>
        <v>0</v>
      </c>
      <c r="AT284" s="126">
        <f t="shared" si="65"/>
        <v>1428.1300000000047</v>
      </c>
      <c r="AU284" s="109"/>
      <c r="AV284" s="67"/>
      <c r="AW284" s="4"/>
      <c r="AX284" s="4"/>
      <c r="AY284" s="4"/>
      <c r="AZ284" s="4"/>
      <c r="BA284" s="4"/>
      <c r="BB284" s="4"/>
    </row>
    <row r="285" spans="1:54" ht="26.25" hidden="1" customHeight="1" x14ac:dyDescent="0.2">
      <c r="A285" s="32">
        <v>636</v>
      </c>
      <c r="B285" s="94" t="s">
        <v>1271</v>
      </c>
      <c r="C285" s="116" t="s">
        <v>1272</v>
      </c>
      <c r="D285" s="107">
        <v>503</v>
      </c>
      <c r="E285" s="253" t="s">
        <v>1273</v>
      </c>
      <c r="F285" s="82" t="s">
        <v>1274</v>
      </c>
      <c r="G285" s="82"/>
      <c r="H285" s="33" t="s">
        <v>1275</v>
      </c>
      <c r="I285" s="107">
        <v>6132</v>
      </c>
      <c r="J285" s="107">
        <v>1</v>
      </c>
      <c r="K285" s="39">
        <v>5</v>
      </c>
      <c r="L285" s="118" t="s">
        <v>1276</v>
      </c>
      <c r="M285" s="147" t="s">
        <v>250</v>
      </c>
      <c r="N285" s="42" t="s">
        <v>76</v>
      </c>
      <c r="O285" s="148" t="s">
        <v>252</v>
      </c>
      <c r="P285" s="46" t="s">
        <v>331</v>
      </c>
      <c r="Q285" s="46" t="s">
        <v>886</v>
      </c>
      <c r="R285" s="256" t="s">
        <v>1277</v>
      </c>
      <c r="S285" s="45">
        <f t="shared" si="59"/>
        <v>618038.6</v>
      </c>
      <c r="T285" s="45">
        <f>620469-2430.4</f>
        <v>618038.6</v>
      </c>
      <c r="U285" s="45">
        <v>0</v>
      </c>
      <c r="V285" s="109" t="s">
        <v>1278</v>
      </c>
      <c r="W285" s="63">
        <v>41942</v>
      </c>
      <c r="X285" s="48"/>
      <c r="Y285" s="109" t="s">
        <v>234</v>
      </c>
      <c r="Z285" s="45"/>
      <c r="AA285" s="45"/>
      <c r="AB285" s="45">
        <f t="shared" si="68"/>
        <v>0</v>
      </c>
      <c r="AC285" s="48"/>
      <c r="AD285" s="63"/>
      <c r="AE285" s="51">
        <f t="shared" si="60"/>
        <v>0</v>
      </c>
      <c r="AF285" s="52">
        <f t="shared" si="61"/>
        <v>0</v>
      </c>
      <c r="AG285" s="52">
        <v>618038.6</v>
      </c>
      <c r="AH285" s="52">
        <f>309019.3+309019.3</f>
        <v>618038.6</v>
      </c>
      <c r="AI285" s="52">
        <f t="shared" si="64"/>
        <v>0</v>
      </c>
      <c r="AJ285" s="124">
        <v>0</v>
      </c>
      <c r="AK285" s="45">
        <v>0</v>
      </c>
      <c r="AL285" s="52">
        <f t="shared" si="69"/>
        <v>0</v>
      </c>
      <c r="AM285" s="52">
        <f t="shared" si="63"/>
        <v>618038.6</v>
      </c>
      <c r="AN285" s="51">
        <f t="shared" si="66"/>
        <v>618038.6</v>
      </c>
      <c r="AO285" s="51">
        <f t="shared" si="70"/>
        <v>0</v>
      </c>
      <c r="AP285" s="125" t="s">
        <v>948</v>
      </c>
      <c r="AQ285" s="52">
        <v>266395.95</v>
      </c>
      <c r="AR285" s="52">
        <v>266395.95</v>
      </c>
      <c r="AS285" s="51">
        <f t="shared" si="67"/>
        <v>0</v>
      </c>
      <c r="AT285" s="126">
        <f t="shared" si="65"/>
        <v>0</v>
      </c>
      <c r="AU285" s="48"/>
      <c r="AV285" s="46"/>
    </row>
    <row r="286" spans="1:54" ht="26.25" hidden="1" customHeight="1" x14ac:dyDescent="0.2">
      <c r="A286" s="32">
        <v>636</v>
      </c>
      <c r="B286" s="94" t="s">
        <v>1271</v>
      </c>
      <c r="C286" s="116" t="s">
        <v>1272</v>
      </c>
      <c r="D286" s="107">
        <v>504</v>
      </c>
      <c r="E286" s="255"/>
      <c r="F286" s="37" t="s">
        <v>59</v>
      </c>
      <c r="G286" s="36"/>
      <c r="H286" s="33" t="s">
        <v>60</v>
      </c>
      <c r="I286" s="107">
        <v>6132</v>
      </c>
      <c r="J286" s="107">
        <v>1</v>
      </c>
      <c r="K286" s="39">
        <v>2</v>
      </c>
      <c r="L286" s="40" t="s">
        <v>61</v>
      </c>
      <c r="M286" s="147" t="s">
        <v>250</v>
      </c>
      <c r="N286" s="42" t="s">
        <v>76</v>
      </c>
      <c r="O286" s="148" t="s">
        <v>252</v>
      </c>
      <c r="P286" s="46" t="s">
        <v>331</v>
      </c>
      <c r="Q286" s="46" t="s">
        <v>886</v>
      </c>
      <c r="R286" s="258"/>
      <c r="S286" s="45">
        <f t="shared" si="59"/>
        <v>412025.73</v>
      </c>
      <c r="T286" s="45">
        <f>413646-1620.27</f>
        <v>412025.73</v>
      </c>
      <c r="U286" s="45">
        <v>0</v>
      </c>
      <c r="V286" s="67" t="s">
        <v>1279</v>
      </c>
      <c r="W286" s="47" t="s">
        <v>1280</v>
      </c>
      <c r="X286" s="48"/>
      <c r="Y286" s="109" t="s">
        <v>234</v>
      </c>
      <c r="Z286" s="45"/>
      <c r="AA286" s="45"/>
      <c r="AB286" s="45">
        <f t="shared" si="68"/>
        <v>0</v>
      </c>
      <c r="AC286" s="48"/>
      <c r="AD286" s="63"/>
      <c r="AE286" s="51">
        <f t="shared" si="60"/>
        <v>0</v>
      </c>
      <c r="AF286" s="52">
        <f t="shared" si="61"/>
        <v>0</v>
      </c>
      <c r="AG286" s="52">
        <v>412025.73</v>
      </c>
      <c r="AH286" s="52">
        <f>206012.87+206012.86</f>
        <v>412025.73</v>
      </c>
      <c r="AI286" s="52">
        <f t="shared" si="64"/>
        <v>0</v>
      </c>
      <c r="AJ286" s="124">
        <v>0</v>
      </c>
      <c r="AK286" s="45">
        <v>0</v>
      </c>
      <c r="AL286" s="52">
        <f t="shared" si="69"/>
        <v>0</v>
      </c>
      <c r="AM286" s="52">
        <f t="shared" si="63"/>
        <v>412025.73</v>
      </c>
      <c r="AN286" s="51">
        <f t="shared" si="66"/>
        <v>412025.73</v>
      </c>
      <c r="AO286" s="51">
        <f t="shared" si="70"/>
        <v>0</v>
      </c>
      <c r="AP286" s="125" t="s">
        <v>948</v>
      </c>
      <c r="AQ286" s="52">
        <v>177597.3</v>
      </c>
      <c r="AR286" s="52">
        <v>177597.3</v>
      </c>
      <c r="AS286" s="51">
        <f t="shared" si="67"/>
        <v>0</v>
      </c>
      <c r="AT286" s="126">
        <f t="shared" si="65"/>
        <v>0</v>
      </c>
      <c r="AU286" s="48"/>
      <c r="AV286" s="46"/>
    </row>
    <row r="287" spans="1:54" ht="26.25" hidden="1" customHeight="1" x14ac:dyDescent="0.2">
      <c r="A287" s="32">
        <v>636</v>
      </c>
      <c r="B287" s="94" t="s">
        <v>1283</v>
      </c>
      <c r="C287" s="116" t="s">
        <v>1284</v>
      </c>
      <c r="D287" s="107">
        <v>505</v>
      </c>
      <c r="E287" s="253" t="s">
        <v>1285</v>
      </c>
      <c r="F287" s="82"/>
      <c r="G287" s="82"/>
      <c r="H287" s="33" t="s">
        <v>1275</v>
      </c>
      <c r="I287" s="107">
        <v>6132</v>
      </c>
      <c r="J287" s="107">
        <v>1</v>
      </c>
      <c r="K287" s="39">
        <v>5</v>
      </c>
      <c r="L287" s="118" t="s">
        <v>1276</v>
      </c>
      <c r="M287" s="147" t="s">
        <v>250</v>
      </c>
      <c r="N287" s="42" t="s">
        <v>76</v>
      </c>
      <c r="O287" s="148" t="s">
        <v>252</v>
      </c>
      <c r="P287" s="46" t="s">
        <v>331</v>
      </c>
      <c r="Q287" s="46" t="s">
        <v>886</v>
      </c>
      <c r="R287" s="257"/>
      <c r="S287" s="45">
        <f t="shared" si="59"/>
        <v>282445.88</v>
      </c>
      <c r="T287" s="45">
        <f>286467-4021.12</f>
        <v>282445.88</v>
      </c>
      <c r="U287" s="45">
        <v>0</v>
      </c>
      <c r="V287" s="109" t="s">
        <v>1278</v>
      </c>
      <c r="W287" s="63">
        <v>41942</v>
      </c>
      <c r="X287" s="48"/>
      <c r="Y287" s="109" t="s">
        <v>234</v>
      </c>
      <c r="Z287" s="45"/>
      <c r="AA287" s="45"/>
      <c r="AB287" s="45">
        <f t="shared" si="68"/>
        <v>0</v>
      </c>
      <c r="AC287" s="48"/>
      <c r="AD287" s="63"/>
      <c r="AE287" s="51">
        <f t="shared" si="60"/>
        <v>0</v>
      </c>
      <c r="AF287" s="52">
        <f t="shared" si="61"/>
        <v>-1.0000000009313226E-2</v>
      </c>
      <c r="AG287" s="52">
        <v>282445.89</v>
      </c>
      <c r="AH287" s="52">
        <f>141222.94+141222.94</f>
        <v>282445.88</v>
      </c>
      <c r="AI287" s="52">
        <f t="shared" si="64"/>
        <v>1.0000000009313226E-2</v>
      </c>
      <c r="AJ287" s="124">
        <v>0</v>
      </c>
      <c r="AK287" s="45">
        <v>0</v>
      </c>
      <c r="AL287" s="52">
        <f t="shared" si="69"/>
        <v>0</v>
      </c>
      <c r="AM287" s="52">
        <f t="shared" ref="AM287:AM338" si="71">SUM(AG287+Z287)+AJ287</f>
        <v>282445.89</v>
      </c>
      <c r="AN287" s="51">
        <f t="shared" ref="AN287:AN338" si="72">SUM(AA287+AH287)+AK287</f>
        <v>282445.88</v>
      </c>
      <c r="AO287" s="51">
        <f t="shared" si="70"/>
        <v>1.0000000009313226E-2</v>
      </c>
      <c r="AP287" s="125" t="s">
        <v>1241</v>
      </c>
      <c r="AQ287" s="52">
        <v>121743.92</v>
      </c>
      <c r="AR287" s="52">
        <v>121743.92</v>
      </c>
      <c r="AS287" s="51">
        <f t="shared" si="67"/>
        <v>0</v>
      </c>
      <c r="AT287" s="126">
        <f t="shared" si="65"/>
        <v>0</v>
      </c>
      <c r="AU287" s="48"/>
      <c r="AV287" s="46"/>
    </row>
    <row r="288" spans="1:54" ht="26.25" hidden="1" customHeight="1" x14ac:dyDescent="0.2">
      <c r="A288" s="32">
        <v>636</v>
      </c>
      <c r="B288" s="94" t="s">
        <v>1283</v>
      </c>
      <c r="C288" s="116" t="s">
        <v>1284</v>
      </c>
      <c r="D288" s="107">
        <v>506</v>
      </c>
      <c r="E288" s="255"/>
      <c r="F288" s="36"/>
      <c r="G288" s="36"/>
      <c r="H288" s="33" t="s">
        <v>60</v>
      </c>
      <c r="I288" s="107">
        <v>6132</v>
      </c>
      <c r="J288" s="107">
        <v>1</v>
      </c>
      <c r="K288" s="39">
        <v>2</v>
      </c>
      <c r="L288" s="40" t="s">
        <v>61</v>
      </c>
      <c r="M288" s="147" t="s">
        <v>250</v>
      </c>
      <c r="N288" s="42" t="s">
        <v>76</v>
      </c>
      <c r="O288" s="148" t="s">
        <v>252</v>
      </c>
      <c r="P288" s="46" t="s">
        <v>331</v>
      </c>
      <c r="Q288" s="46" t="s">
        <v>886</v>
      </c>
      <c r="R288" s="258"/>
      <c r="S288" s="45">
        <f t="shared" si="59"/>
        <v>190978</v>
      </c>
      <c r="T288" s="45">
        <v>190978</v>
      </c>
      <c r="U288" s="45">
        <v>0</v>
      </c>
      <c r="V288" s="109" t="s">
        <v>1278</v>
      </c>
      <c r="W288" s="63">
        <v>41942</v>
      </c>
      <c r="X288" s="48"/>
      <c r="Y288" s="109" t="s">
        <v>234</v>
      </c>
      <c r="Z288" s="45"/>
      <c r="AA288" s="45"/>
      <c r="AB288" s="45">
        <f t="shared" si="68"/>
        <v>0</v>
      </c>
      <c r="AC288" s="48"/>
      <c r="AD288" s="63"/>
      <c r="AE288" s="51">
        <f t="shared" si="60"/>
        <v>0</v>
      </c>
      <c r="AF288" s="52">
        <f t="shared" si="61"/>
        <v>2680.7399999999907</v>
      </c>
      <c r="AG288" s="52">
        <v>188297.26</v>
      </c>
      <c r="AH288" s="52">
        <f>94148.63+94148.63</f>
        <v>188297.26</v>
      </c>
      <c r="AI288" s="52">
        <f t="shared" si="64"/>
        <v>0</v>
      </c>
      <c r="AJ288" s="124">
        <v>0</v>
      </c>
      <c r="AK288" s="45">
        <v>0</v>
      </c>
      <c r="AL288" s="52">
        <f t="shared" si="69"/>
        <v>0</v>
      </c>
      <c r="AM288" s="52">
        <f t="shared" si="71"/>
        <v>188297.26</v>
      </c>
      <c r="AN288" s="51">
        <f t="shared" si="72"/>
        <v>188297.26</v>
      </c>
      <c r="AO288" s="51">
        <f t="shared" si="70"/>
        <v>0</v>
      </c>
      <c r="AP288" s="125" t="s">
        <v>1241</v>
      </c>
      <c r="AQ288" s="52">
        <v>81162.61</v>
      </c>
      <c r="AR288" s="52">
        <v>81162.61</v>
      </c>
      <c r="AS288" s="51">
        <f t="shared" si="67"/>
        <v>0</v>
      </c>
      <c r="AT288" s="126">
        <f t="shared" si="65"/>
        <v>2680.7399999999907</v>
      </c>
      <c r="AU288" s="48"/>
      <c r="AV288" s="46"/>
    </row>
    <row r="289" spans="1:54" ht="26.25" hidden="1" customHeight="1" x14ac:dyDescent="0.2">
      <c r="A289" s="32">
        <v>636</v>
      </c>
      <c r="B289" s="127" t="s">
        <v>1286</v>
      </c>
      <c r="C289" s="116" t="s">
        <v>1287</v>
      </c>
      <c r="D289" s="107">
        <v>564</v>
      </c>
      <c r="E289" s="256" t="s">
        <v>1288</v>
      </c>
      <c r="F289" s="159"/>
      <c r="G289" s="159">
        <v>1</v>
      </c>
      <c r="H289" s="67" t="s">
        <v>1166</v>
      </c>
      <c r="I289" s="158">
        <v>6226</v>
      </c>
      <c r="J289" s="107">
        <v>2</v>
      </c>
      <c r="K289" s="39">
        <v>6</v>
      </c>
      <c r="L289" s="152" t="s">
        <v>1122</v>
      </c>
      <c r="M289" s="153" t="s">
        <v>108</v>
      </c>
      <c r="N289" s="42" t="s">
        <v>76</v>
      </c>
      <c r="O289" s="117" t="s">
        <v>88</v>
      </c>
      <c r="P289" s="153" t="s">
        <v>1289</v>
      </c>
      <c r="Q289" s="164" t="s">
        <v>1290</v>
      </c>
      <c r="R289" s="253" t="s">
        <v>1291</v>
      </c>
      <c r="S289" s="52">
        <f t="shared" ref="S289:S308" si="73">T289+U289</f>
        <v>469060</v>
      </c>
      <c r="T289" s="52">
        <v>469060</v>
      </c>
      <c r="U289" s="52">
        <v>0</v>
      </c>
      <c r="V289" s="109" t="s">
        <v>1240</v>
      </c>
      <c r="W289" s="154">
        <v>41941</v>
      </c>
      <c r="X289" s="109"/>
      <c r="Y289" s="109" t="s">
        <v>234</v>
      </c>
      <c r="Z289" s="155"/>
      <c r="AA289" s="155"/>
      <c r="AB289" s="155">
        <f t="shared" si="68"/>
        <v>0</v>
      </c>
      <c r="AC289" s="109"/>
      <c r="AD289" s="154"/>
      <c r="AE289" s="51">
        <f t="shared" ref="AE289:AE340" si="74">U289-Z289</f>
        <v>0</v>
      </c>
      <c r="AF289" s="52">
        <f t="shared" si="61"/>
        <v>1025.2399999999907</v>
      </c>
      <c r="AG289" s="52">
        <v>468034.76</v>
      </c>
      <c r="AH289" s="52">
        <f>140410.43+327624.33</f>
        <v>468034.76</v>
      </c>
      <c r="AI289" s="52">
        <f t="shared" si="64"/>
        <v>0</v>
      </c>
      <c r="AJ289" s="163">
        <v>0</v>
      </c>
      <c r="AK289" s="52">
        <v>0</v>
      </c>
      <c r="AL289" s="52">
        <f t="shared" si="69"/>
        <v>0</v>
      </c>
      <c r="AM289" s="52">
        <f t="shared" si="71"/>
        <v>468034.76</v>
      </c>
      <c r="AN289" s="51">
        <f t="shared" si="72"/>
        <v>468034.76</v>
      </c>
      <c r="AO289" s="51">
        <f t="shared" si="70"/>
        <v>0</v>
      </c>
      <c r="AP289" s="125"/>
      <c r="AQ289" s="52">
        <v>121043.47</v>
      </c>
      <c r="AR289" s="52">
        <v>121043.47</v>
      </c>
      <c r="AS289" s="51">
        <f t="shared" si="67"/>
        <v>0</v>
      </c>
      <c r="AT289" s="126">
        <f t="shared" si="65"/>
        <v>1025.2399999999907</v>
      </c>
      <c r="AU289" s="109"/>
      <c r="AV289" s="67"/>
      <c r="AW289" s="4"/>
      <c r="AX289" s="4"/>
      <c r="AY289" s="4"/>
      <c r="AZ289" s="4"/>
      <c r="BA289" s="4"/>
      <c r="BB289" s="4"/>
    </row>
    <row r="290" spans="1:54" ht="26.25" hidden="1" customHeight="1" x14ac:dyDescent="0.2">
      <c r="A290" s="32">
        <v>636</v>
      </c>
      <c r="B290" s="94" t="s">
        <v>1286</v>
      </c>
      <c r="C290" s="116" t="s">
        <v>1287</v>
      </c>
      <c r="D290" s="107">
        <v>565</v>
      </c>
      <c r="E290" s="258"/>
      <c r="F290" s="160"/>
      <c r="G290" s="160">
        <v>1</v>
      </c>
      <c r="H290" s="67" t="s">
        <v>60</v>
      </c>
      <c r="I290" s="158">
        <v>6226</v>
      </c>
      <c r="J290" s="107">
        <v>2</v>
      </c>
      <c r="K290" s="39">
        <v>2</v>
      </c>
      <c r="L290" s="157" t="s">
        <v>61</v>
      </c>
      <c r="M290" s="153" t="s">
        <v>108</v>
      </c>
      <c r="N290" s="42" t="s">
        <v>76</v>
      </c>
      <c r="O290" s="117" t="s">
        <v>88</v>
      </c>
      <c r="P290" s="153" t="s">
        <v>1289</v>
      </c>
      <c r="Q290" s="164" t="s">
        <v>1290</v>
      </c>
      <c r="R290" s="255"/>
      <c r="S290" s="52">
        <f t="shared" si="73"/>
        <v>469060</v>
      </c>
      <c r="T290" s="52">
        <v>469060</v>
      </c>
      <c r="U290" s="52">
        <v>0</v>
      </c>
      <c r="V290" s="109" t="s">
        <v>1240</v>
      </c>
      <c r="W290" s="154">
        <v>41941</v>
      </c>
      <c r="X290" s="109"/>
      <c r="Y290" s="109" t="s">
        <v>234</v>
      </c>
      <c r="Z290" s="155"/>
      <c r="AA290" s="155"/>
      <c r="AB290" s="155">
        <f t="shared" si="68"/>
        <v>0</v>
      </c>
      <c r="AC290" s="109"/>
      <c r="AD290" s="154"/>
      <c r="AE290" s="51">
        <f t="shared" si="74"/>
        <v>0</v>
      </c>
      <c r="AF290" s="52">
        <f t="shared" ref="AF290:AF341" si="75">T290-AG290-AJ290</f>
        <v>1025.2399999999907</v>
      </c>
      <c r="AG290" s="52">
        <v>468034.76</v>
      </c>
      <c r="AH290" s="52">
        <f>140410.42+327624.34</f>
        <v>468034.76</v>
      </c>
      <c r="AI290" s="52">
        <f t="shared" si="64"/>
        <v>0</v>
      </c>
      <c r="AJ290" s="156">
        <v>0</v>
      </c>
      <c r="AK290" s="155">
        <v>0</v>
      </c>
      <c r="AL290" s="52">
        <f t="shared" si="69"/>
        <v>0</v>
      </c>
      <c r="AM290" s="52">
        <f t="shared" si="71"/>
        <v>468034.76</v>
      </c>
      <c r="AN290" s="51">
        <f t="shared" si="72"/>
        <v>468034.76</v>
      </c>
      <c r="AO290" s="51">
        <f t="shared" si="70"/>
        <v>0</v>
      </c>
      <c r="AP290" s="125"/>
      <c r="AQ290" s="52">
        <v>121043.47</v>
      </c>
      <c r="AR290" s="52">
        <v>121043.47</v>
      </c>
      <c r="AS290" s="51">
        <f t="shared" si="67"/>
        <v>0</v>
      </c>
      <c r="AT290" s="126">
        <f t="shared" si="65"/>
        <v>1025.2399999999907</v>
      </c>
      <c r="AU290" s="109"/>
      <c r="AV290" s="67"/>
      <c r="AW290" s="4"/>
      <c r="AX290" s="4"/>
      <c r="AY290" s="4"/>
      <c r="AZ290" s="4"/>
      <c r="BA290" s="4"/>
      <c r="BB290" s="4"/>
    </row>
    <row r="291" spans="1:54" ht="26.25" hidden="1" customHeight="1" x14ac:dyDescent="0.2">
      <c r="A291" s="32">
        <v>636</v>
      </c>
      <c r="B291" s="94" t="s">
        <v>1292</v>
      </c>
      <c r="C291" s="116" t="s">
        <v>1293</v>
      </c>
      <c r="D291" s="107">
        <v>568</v>
      </c>
      <c r="E291" s="256" t="s">
        <v>1294</v>
      </c>
      <c r="F291" s="159"/>
      <c r="G291" s="159">
        <v>1</v>
      </c>
      <c r="H291" s="67" t="s">
        <v>1166</v>
      </c>
      <c r="I291" s="158">
        <v>6226</v>
      </c>
      <c r="J291" s="107">
        <v>2</v>
      </c>
      <c r="K291" s="39">
        <v>6</v>
      </c>
      <c r="L291" s="152" t="s">
        <v>1122</v>
      </c>
      <c r="M291" s="153" t="s">
        <v>108</v>
      </c>
      <c r="N291" s="42" t="s">
        <v>76</v>
      </c>
      <c r="O291" s="117" t="s">
        <v>88</v>
      </c>
      <c r="P291" s="67" t="s">
        <v>724</v>
      </c>
      <c r="Q291" s="67" t="s">
        <v>680</v>
      </c>
      <c r="R291" s="253" t="s">
        <v>1295</v>
      </c>
      <c r="S291" s="52">
        <f t="shared" si="73"/>
        <v>117265</v>
      </c>
      <c r="T291" s="52">
        <v>117265</v>
      </c>
      <c r="U291" s="52">
        <v>0</v>
      </c>
      <c r="V291" s="109" t="s">
        <v>1240</v>
      </c>
      <c r="W291" s="154">
        <v>41941</v>
      </c>
      <c r="X291" s="109"/>
      <c r="Y291" s="109" t="s">
        <v>234</v>
      </c>
      <c r="Z291" s="155"/>
      <c r="AA291" s="155"/>
      <c r="AB291" s="155">
        <f t="shared" si="68"/>
        <v>0</v>
      </c>
      <c r="AC291" s="109"/>
      <c r="AD291" s="154"/>
      <c r="AE291" s="51">
        <f t="shared" si="74"/>
        <v>0</v>
      </c>
      <c r="AF291" s="52">
        <f t="shared" si="75"/>
        <v>220.52999999999884</v>
      </c>
      <c r="AG291" s="52">
        <v>117044.47</v>
      </c>
      <c r="AH291" s="52">
        <f>58522.24+58522.23</f>
        <v>117044.47</v>
      </c>
      <c r="AI291" s="52">
        <f t="shared" si="64"/>
        <v>0</v>
      </c>
      <c r="AJ291" s="163">
        <v>0</v>
      </c>
      <c r="AK291" s="52">
        <v>0</v>
      </c>
      <c r="AL291" s="52">
        <f t="shared" si="69"/>
        <v>0</v>
      </c>
      <c r="AM291" s="52">
        <f t="shared" si="71"/>
        <v>117044.47</v>
      </c>
      <c r="AN291" s="51">
        <f t="shared" si="72"/>
        <v>117044.47</v>
      </c>
      <c r="AO291" s="51">
        <f t="shared" si="70"/>
        <v>0</v>
      </c>
      <c r="AP291" s="125" t="s">
        <v>1296</v>
      </c>
      <c r="AQ291" s="52">
        <v>50450.2</v>
      </c>
      <c r="AR291" s="52">
        <v>50450.2</v>
      </c>
      <c r="AS291" s="51">
        <f t="shared" si="67"/>
        <v>0</v>
      </c>
      <c r="AT291" s="126">
        <f t="shared" si="65"/>
        <v>220.52999999999884</v>
      </c>
      <c r="AU291" s="109"/>
      <c r="AV291" s="67"/>
      <c r="AW291" s="4"/>
      <c r="AX291" s="4"/>
      <c r="AY291" s="4"/>
      <c r="AZ291" s="4"/>
      <c r="BA291" s="4"/>
      <c r="BB291" s="4"/>
    </row>
    <row r="292" spans="1:54" ht="26.25" hidden="1" customHeight="1" x14ac:dyDescent="0.2">
      <c r="A292" s="32">
        <v>636</v>
      </c>
      <c r="B292" s="94" t="s">
        <v>1292</v>
      </c>
      <c r="C292" s="116" t="s">
        <v>1293</v>
      </c>
      <c r="D292" s="107">
        <v>569</v>
      </c>
      <c r="E292" s="258"/>
      <c r="F292" s="160"/>
      <c r="G292" s="160">
        <v>1</v>
      </c>
      <c r="H292" s="67" t="s">
        <v>60</v>
      </c>
      <c r="I292" s="158">
        <v>6226</v>
      </c>
      <c r="J292" s="107">
        <v>2</v>
      </c>
      <c r="K292" s="39">
        <v>2</v>
      </c>
      <c r="L292" s="157" t="s">
        <v>61</v>
      </c>
      <c r="M292" s="153" t="s">
        <v>108</v>
      </c>
      <c r="N292" s="42" t="s">
        <v>76</v>
      </c>
      <c r="O292" s="117" t="s">
        <v>88</v>
      </c>
      <c r="P292" s="67" t="s">
        <v>724</v>
      </c>
      <c r="Q292" s="67" t="s">
        <v>680</v>
      </c>
      <c r="R292" s="254"/>
      <c r="S292" s="52">
        <f t="shared" si="73"/>
        <v>117265</v>
      </c>
      <c r="T292" s="52">
        <v>117265</v>
      </c>
      <c r="U292" s="52">
        <v>0</v>
      </c>
      <c r="V292" s="109" t="s">
        <v>1240</v>
      </c>
      <c r="W292" s="154">
        <v>41941</v>
      </c>
      <c r="X292" s="109"/>
      <c r="Y292" s="109" t="s">
        <v>234</v>
      </c>
      <c r="Z292" s="155"/>
      <c r="AA292" s="155"/>
      <c r="AB292" s="155">
        <f t="shared" si="68"/>
        <v>0</v>
      </c>
      <c r="AC292" s="109"/>
      <c r="AD292" s="154"/>
      <c r="AE292" s="51">
        <f t="shared" si="74"/>
        <v>0</v>
      </c>
      <c r="AF292" s="52">
        <f t="shared" si="75"/>
        <v>220.5399999999936</v>
      </c>
      <c r="AG292" s="52">
        <v>117044.46</v>
      </c>
      <c r="AH292" s="52">
        <f>58522.23+58522.23</f>
        <v>117044.46</v>
      </c>
      <c r="AI292" s="52">
        <f t="shared" si="64"/>
        <v>0</v>
      </c>
      <c r="AJ292" s="156">
        <v>0</v>
      </c>
      <c r="AK292" s="155">
        <v>0</v>
      </c>
      <c r="AL292" s="52">
        <f t="shared" si="69"/>
        <v>0</v>
      </c>
      <c r="AM292" s="52">
        <f t="shared" si="71"/>
        <v>117044.46</v>
      </c>
      <c r="AN292" s="51">
        <f t="shared" si="72"/>
        <v>117044.46</v>
      </c>
      <c r="AO292" s="51">
        <f t="shared" si="70"/>
        <v>0</v>
      </c>
      <c r="AP292" s="125" t="s">
        <v>1296</v>
      </c>
      <c r="AQ292" s="52">
        <v>50450.2</v>
      </c>
      <c r="AR292" s="52">
        <v>50450.2</v>
      </c>
      <c r="AS292" s="51">
        <f t="shared" si="67"/>
        <v>0</v>
      </c>
      <c r="AT292" s="126">
        <f t="shared" si="65"/>
        <v>220.5399999999936</v>
      </c>
      <c r="AU292" s="109"/>
      <c r="AV292" s="67"/>
      <c r="AW292" s="4"/>
      <c r="AX292" s="4"/>
      <c r="AY292" s="4"/>
      <c r="AZ292" s="4"/>
      <c r="BA292" s="4"/>
      <c r="BB292" s="4"/>
    </row>
    <row r="293" spans="1:54" ht="26.25" hidden="1" customHeight="1" x14ac:dyDescent="0.2">
      <c r="A293" s="32">
        <v>636</v>
      </c>
      <c r="B293" s="94" t="s">
        <v>1297</v>
      </c>
      <c r="C293" s="116" t="s">
        <v>1298</v>
      </c>
      <c r="D293" s="107">
        <v>562</v>
      </c>
      <c r="E293" s="256" t="s">
        <v>1299</v>
      </c>
      <c r="F293" s="159"/>
      <c r="G293" s="159">
        <v>1</v>
      </c>
      <c r="H293" s="67" t="s">
        <v>1166</v>
      </c>
      <c r="I293" s="158">
        <v>6226</v>
      </c>
      <c r="J293" s="107">
        <v>2</v>
      </c>
      <c r="K293" s="39">
        <v>6</v>
      </c>
      <c r="L293" s="152" t="s">
        <v>1122</v>
      </c>
      <c r="M293" s="153" t="s">
        <v>108</v>
      </c>
      <c r="N293" s="42" t="s">
        <v>76</v>
      </c>
      <c r="O293" s="117" t="s">
        <v>88</v>
      </c>
      <c r="P293" s="67" t="s">
        <v>724</v>
      </c>
      <c r="Q293" s="67" t="s">
        <v>1262</v>
      </c>
      <c r="R293" s="254"/>
      <c r="S293" s="52">
        <f t="shared" si="73"/>
        <v>175897.5</v>
      </c>
      <c r="T293" s="52">
        <v>175897.5</v>
      </c>
      <c r="U293" s="52">
        <v>0</v>
      </c>
      <c r="V293" s="109" t="s">
        <v>1240</v>
      </c>
      <c r="W293" s="154">
        <v>41941</v>
      </c>
      <c r="X293" s="109"/>
      <c r="Y293" s="109" t="s">
        <v>234</v>
      </c>
      <c r="Z293" s="155"/>
      <c r="AA293" s="155"/>
      <c r="AB293" s="155">
        <f t="shared" si="68"/>
        <v>0</v>
      </c>
      <c r="AC293" s="109"/>
      <c r="AD293" s="154"/>
      <c r="AE293" s="51">
        <f t="shared" si="74"/>
        <v>0</v>
      </c>
      <c r="AF293" s="52">
        <f t="shared" si="75"/>
        <v>330.80999999999767</v>
      </c>
      <c r="AG293" s="52">
        <v>175566.69</v>
      </c>
      <c r="AH293" s="52">
        <f>87783.35+87783.34</f>
        <v>175566.69</v>
      </c>
      <c r="AI293" s="52">
        <f t="shared" si="64"/>
        <v>0</v>
      </c>
      <c r="AJ293" s="163">
        <v>0</v>
      </c>
      <c r="AK293" s="52">
        <v>0</v>
      </c>
      <c r="AL293" s="52">
        <f t="shared" si="69"/>
        <v>0</v>
      </c>
      <c r="AM293" s="52">
        <f t="shared" si="71"/>
        <v>175566.69</v>
      </c>
      <c r="AN293" s="51">
        <f t="shared" si="72"/>
        <v>175566.69</v>
      </c>
      <c r="AO293" s="51">
        <f t="shared" si="70"/>
        <v>0</v>
      </c>
      <c r="AP293" s="125" t="s">
        <v>1296</v>
      </c>
      <c r="AQ293" s="52">
        <v>75675.3</v>
      </c>
      <c r="AR293" s="52">
        <v>75675.3</v>
      </c>
      <c r="AS293" s="51">
        <f t="shared" si="67"/>
        <v>0</v>
      </c>
      <c r="AT293" s="126">
        <f t="shared" si="65"/>
        <v>330.80999999999767</v>
      </c>
      <c r="AU293" s="109"/>
      <c r="AV293" s="67"/>
      <c r="AW293" s="4"/>
      <c r="AX293" s="4"/>
      <c r="AY293" s="4"/>
      <c r="AZ293" s="4"/>
      <c r="BA293" s="4"/>
      <c r="BB293" s="4"/>
    </row>
    <row r="294" spans="1:54" ht="26.25" hidden="1" customHeight="1" x14ac:dyDescent="0.2">
      <c r="A294" s="32">
        <v>636</v>
      </c>
      <c r="B294" s="94" t="s">
        <v>1297</v>
      </c>
      <c r="C294" s="116" t="s">
        <v>1298</v>
      </c>
      <c r="D294" s="107">
        <v>563</v>
      </c>
      <c r="E294" s="258"/>
      <c r="F294" s="160"/>
      <c r="G294" s="160">
        <v>1</v>
      </c>
      <c r="H294" s="67" t="s">
        <v>60</v>
      </c>
      <c r="I294" s="158">
        <v>6226</v>
      </c>
      <c r="J294" s="107">
        <v>2</v>
      </c>
      <c r="K294" s="39">
        <v>2</v>
      </c>
      <c r="L294" s="157" t="s">
        <v>61</v>
      </c>
      <c r="M294" s="153" t="s">
        <v>108</v>
      </c>
      <c r="N294" s="42" t="s">
        <v>76</v>
      </c>
      <c r="O294" s="117" t="s">
        <v>88</v>
      </c>
      <c r="P294" s="67" t="s">
        <v>724</v>
      </c>
      <c r="Q294" s="67" t="s">
        <v>1262</v>
      </c>
      <c r="R294" s="254"/>
      <c r="S294" s="52">
        <f t="shared" si="73"/>
        <v>175897.5</v>
      </c>
      <c r="T294" s="52">
        <v>175897.5</v>
      </c>
      <c r="U294" s="52">
        <v>0</v>
      </c>
      <c r="V294" s="109" t="s">
        <v>1240</v>
      </c>
      <c r="W294" s="154">
        <v>41941</v>
      </c>
      <c r="X294" s="109"/>
      <c r="Y294" s="109" t="s">
        <v>234</v>
      </c>
      <c r="Z294" s="155"/>
      <c r="AA294" s="155"/>
      <c r="AB294" s="155">
        <f t="shared" si="68"/>
        <v>0</v>
      </c>
      <c r="AC294" s="109"/>
      <c r="AD294" s="154"/>
      <c r="AE294" s="51">
        <f t="shared" si="74"/>
        <v>0</v>
      </c>
      <c r="AF294" s="52">
        <f t="shared" si="75"/>
        <v>330.82000000000698</v>
      </c>
      <c r="AG294" s="52">
        <v>175566.68</v>
      </c>
      <c r="AH294" s="52">
        <f>87783.34+87783.34</f>
        <v>175566.68</v>
      </c>
      <c r="AI294" s="52">
        <f t="shared" si="64"/>
        <v>0</v>
      </c>
      <c r="AJ294" s="156">
        <v>0</v>
      </c>
      <c r="AK294" s="155">
        <v>0</v>
      </c>
      <c r="AL294" s="52">
        <f t="shared" si="69"/>
        <v>0</v>
      </c>
      <c r="AM294" s="52">
        <f t="shared" si="71"/>
        <v>175566.68</v>
      </c>
      <c r="AN294" s="51">
        <f t="shared" si="72"/>
        <v>175566.68</v>
      </c>
      <c r="AO294" s="51">
        <f t="shared" si="70"/>
        <v>0</v>
      </c>
      <c r="AP294" s="125" t="s">
        <v>1296</v>
      </c>
      <c r="AQ294" s="52">
        <v>75675.289999999994</v>
      </c>
      <c r="AR294" s="52">
        <v>75675.289999999994</v>
      </c>
      <c r="AS294" s="51">
        <f t="shared" si="67"/>
        <v>0</v>
      </c>
      <c r="AT294" s="126">
        <f t="shared" si="65"/>
        <v>330.82000000000698</v>
      </c>
      <c r="AU294" s="109"/>
      <c r="AV294" s="67"/>
      <c r="AW294" s="4"/>
      <c r="AX294" s="4"/>
      <c r="AY294" s="4"/>
      <c r="AZ294" s="4"/>
      <c r="BA294" s="4"/>
      <c r="BB294" s="4"/>
    </row>
    <row r="295" spans="1:54" ht="20.25" hidden="1" customHeight="1" x14ac:dyDescent="0.2">
      <c r="A295" s="32">
        <v>636</v>
      </c>
      <c r="B295" s="94" t="s">
        <v>1300</v>
      </c>
      <c r="C295" s="116" t="s">
        <v>1301</v>
      </c>
      <c r="D295" s="107">
        <v>550</v>
      </c>
      <c r="E295" s="256" t="s">
        <v>1302</v>
      </c>
      <c r="F295" s="82"/>
      <c r="G295" s="82">
        <v>1</v>
      </c>
      <c r="H295" s="67" t="s">
        <v>1166</v>
      </c>
      <c r="I295" s="158">
        <v>6226</v>
      </c>
      <c r="J295" s="107">
        <v>2</v>
      </c>
      <c r="K295" s="39">
        <v>6</v>
      </c>
      <c r="L295" s="152" t="s">
        <v>1122</v>
      </c>
      <c r="M295" s="153" t="s">
        <v>108</v>
      </c>
      <c r="N295" s="42" t="s">
        <v>76</v>
      </c>
      <c r="O295" s="117" t="s">
        <v>88</v>
      </c>
      <c r="P295" s="67" t="s">
        <v>724</v>
      </c>
      <c r="Q295" s="67" t="s">
        <v>1303</v>
      </c>
      <c r="R295" s="254"/>
      <c r="S295" s="52">
        <f t="shared" si="73"/>
        <v>58632.5</v>
      </c>
      <c r="T295" s="52">
        <v>58632.5</v>
      </c>
      <c r="U295" s="52">
        <v>0</v>
      </c>
      <c r="V295" s="109" t="s">
        <v>1240</v>
      </c>
      <c r="W295" s="154">
        <v>41941</v>
      </c>
      <c r="X295" s="109"/>
      <c r="Y295" s="109" t="s">
        <v>234</v>
      </c>
      <c r="Z295" s="155"/>
      <c r="AA295" s="155"/>
      <c r="AB295" s="155">
        <f t="shared" si="68"/>
        <v>0</v>
      </c>
      <c r="AC295" s="109"/>
      <c r="AD295" s="154"/>
      <c r="AE295" s="51">
        <f t="shared" si="74"/>
        <v>0</v>
      </c>
      <c r="AF295" s="52">
        <f t="shared" si="75"/>
        <v>110.2699999999968</v>
      </c>
      <c r="AG295" s="52">
        <v>58522.23</v>
      </c>
      <c r="AH295" s="52">
        <f>29261.12+29261.11</f>
        <v>58522.229999999996</v>
      </c>
      <c r="AI295" s="52">
        <f t="shared" si="64"/>
        <v>7.2759576141834259E-12</v>
      </c>
      <c r="AJ295" s="163">
        <v>0</v>
      </c>
      <c r="AK295" s="52">
        <v>0</v>
      </c>
      <c r="AL295" s="52">
        <f t="shared" si="69"/>
        <v>0</v>
      </c>
      <c r="AM295" s="52">
        <f t="shared" si="71"/>
        <v>58522.23</v>
      </c>
      <c r="AN295" s="51">
        <f t="shared" si="72"/>
        <v>58522.229999999996</v>
      </c>
      <c r="AO295" s="51">
        <f t="shared" si="70"/>
        <v>0</v>
      </c>
      <c r="AP295" s="125" t="s">
        <v>1296</v>
      </c>
      <c r="AQ295" s="52">
        <v>25225.1</v>
      </c>
      <c r="AR295" s="52">
        <v>25225.1</v>
      </c>
      <c r="AS295" s="51">
        <f t="shared" si="67"/>
        <v>0</v>
      </c>
      <c r="AT295" s="126">
        <f t="shared" si="65"/>
        <v>110.27000000000407</v>
      </c>
      <c r="AU295" s="109"/>
      <c r="AV295" s="67"/>
      <c r="AW295" s="4"/>
      <c r="AX295" s="4"/>
      <c r="AY295" s="4"/>
      <c r="AZ295" s="4"/>
      <c r="BA295" s="4"/>
      <c r="BB295" s="4"/>
    </row>
    <row r="296" spans="1:54" ht="20.25" hidden="1" customHeight="1" x14ac:dyDescent="0.2">
      <c r="A296" s="32">
        <v>636</v>
      </c>
      <c r="B296" s="94" t="s">
        <v>1300</v>
      </c>
      <c r="C296" s="116" t="s">
        <v>1301</v>
      </c>
      <c r="D296" s="107">
        <v>551</v>
      </c>
      <c r="E296" s="258"/>
      <c r="F296" s="36"/>
      <c r="G296" s="36">
        <v>1</v>
      </c>
      <c r="H296" s="67" t="s">
        <v>60</v>
      </c>
      <c r="I296" s="158">
        <v>6226</v>
      </c>
      <c r="J296" s="107">
        <v>2</v>
      </c>
      <c r="K296" s="39">
        <v>2</v>
      </c>
      <c r="L296" s="157" t="s">
        <v>61</v>
      </c>
      <c r="M296" s="153" t="s">
        <v>108</v>
      </c>
      <c r="N296" s="42" t="s">
        <v>76</v>
      </c>
      <c r="O296" s="117" t="s">
        <v>88</v>
      </c>
      <c r="P296" s="67" t="s">
        <v>724</v>
      </c>
      <c r="Q296" s="67" t="s">
        <v>1303</v>
      </c>
      <c r="R296" s="254"/>
      <c r="S296" s="52">
        <f t="shared" si="73"/>
        <v>58632.5</v>
      </c>
      <c r="T296" s="52">
        <v>58632.5</v>
      </c>
      <c r="U296" s="52">
        <v>0</v>
      </c>
      <c r="V296" s="109" t="s">
        <v>1240</v>
      </c>
      <c r="W296" s="154">
        <v>41941</v>
      </c>
      <c r="X296" s="109"/>
      <c r="Y296" s="109" t="s">
        <v>234</v>
      </c>
      <c r="Z296" s="155"/>
      <c r="AA296" s="155"/>
      <c r="AB296" s="155">
        <f t="shared" si="68"/>
        <v>0</v>
      </c>
      <c r="AC296" s="109"/>
      <c r="AD296" s="154"/>
      <c r="AE296" s="51">
        <f t="shared" si="74"/>
        <v>0</v>
      </c>
      <c r="AF296" s="52">
        <f t="shared" si="75"/>
        <v>110.2699999999968</v>
      </c>
      <c r="AG296" s="52">
        <v>58522.23</v>
      </c>
      <c r="AH296" s="52">
        <f>29261.11+29261.12</f>
        <v>58522.229999999996</v>
      </c>
      <c r="AI296" s="52">
        <f t="shared" si="64"/>
        <v>7.2759576141834259E-12</v>
      </c>
      <c r="AJ296" s="156">
        <v>0</v>
      </c>
      <c r="AK296" s="155">
        <v>0</v>
      </c>
      <c r="AL296" s="52">
        <f t="shared" si="69"/>
        <v>0</v>
      </c>
      <c r="AM296" s="52">
        <f t="shared" si="71"/>
        <v>58522.23</v>
      </c>
      <c r="AN296" s="51">
        <f t="shared" si="72"/>
        <v>58522.229999999996</v>
      </c>
      <c r="AO296" s="51">
        <f t="shared" si="70"/>
        <v>0</v>
      </c>
      <c r="AP296" s="125" t="s">
        <v>1296</v>
      </c>
      <c r="AQ296" s="52">
        <v>25225.1</v>
      </c>
      <c r="AR296" s="52">
        <v>25225.1</v>
      </c>
      <c r="AS296" s="51">
        <f t="shared" si="67"/>
        <v>0</v>
      </c>
      <c r="AT296" s="126">
        <f t="shared" si="65"/>
        <v>110.27000000000407</v>
      </c>
      <c r="AU296" s="109"/>
      <c r="AV296" s="67"/>
      <c r="AW296" s="4"/>
      <c r="AX296" s="4"/>
      <c r="AY296" s="4"/>
      <c r="AZ296" s="4"/>
      <c r="BA296" s="4"/>
      <c r="BB296" s="4"/>
    </row>
    <row r="297" spans="1:54" ht="20.25" hidden="1" customHeight="1" x14ac:dyDescent="0.2">
      <c r="A297" s="32">
        <v>636</v>
      </c>
      <c r="B297" s="94" t="s">
        <v>1304</v>
      </c>
      <c r="C297" s="116" t="s">
        <v>1305</v>
      </c>
      <c r="D297" s="116">
        <v>554</v>
      </c>
      <c r="E297" s="256" t="s">
        <v>1306</v>
      </c>
      <c r="F297" s="159">
        <v>3427</v>
      </c>
      <c r="G297" s="82"/>
      <c r="H297" s="67" t="s">
        <v>1166</v>
      </c>
      <c r="I297" s="158">
        <v>6226</v>
      </c>
      <c r="J297" s="107">
        <v>2</v>
      </c>
      <c r="K297" s="39">
        <v>6</v>
      </c>
      <c r="L297" s="152" t="s">
        <v>1122</v>
      </c>
      <c r="M297" s="153" t="s">
        <v>108</v>
      </c>
      <c r="N297" s="42" t="s">
        <v>76</v>
      </c>
      <c r="O297" s="117" t="s">
        <v>88</v>
      </c>
      <c r="P297" s="67" t="s">
        <v>821</v>
      </c>
      <c r="Q297" s="67" t="s">
        <v>1307</v>
      </c>
      <c r="R297" s="254"/>
      <c r="S297" s="52">
        <f t="shared" si="73"/>
        <v>58522.23</v>
      </c>
      <c r="T297" s="52">
        <f>58632.5-110.27</f>
        <v>58522.23</v>
      </c>
      <c r="U297" s="52">
        <v>0</v>
      </c>
      <c r="V297" s="109" t="s">
        <v>1240</v>
      </c>
      <c r="W297" s="154">
        <v>41941</v>
      </c>
      <c r="X297" s="109"/>
      <c r="Y297" s="109" t="s">
        <v>234</v>
      </c>
      <c r="Z297" s="155"/>
      <c r="AA297" s="155"/>
      <c r="AB297" s="155">
        <f t="shared" si="68"/>
        <v>0</v>
      </c>
      <c r="AC297" s="109"/>
      <c r="AD297" s="154"/>
      <c r="AE297" s="51">
        <f t="shared" si="74"/>
        <v>0</v>
      </c>
      <c r="AF297" s="52">
        <f t="shared" si="75"/>
        <v>0</v>
      </c>
      <c r="AG297" s="52">
        <v>58522.23</v>
      </c>
      <c r="AH297" s="52">
        <f>29261.12+29261.11</f>
        <v>58522.229999999996</v>
      </c>
      <c r="AI297" s="52">
        <f t="shared" si="64"/>
        <v>7.2759576141834259E-12</v>
      </c>
      <c r="AJ297" s="156">
        <v>0</v>
      </c>
      <c r="AK297" s="155">
        <v>0</v>
      </c>
      <c r="AL297" s="52">
        <f t="shared" si="69"/>
        <v>0</v>
      </c>
      <c r="AM297" s="52">
        <f t="shared" si="71"/>
        <v>58522.23</v>
      </c>
      <c r="AN297" s="51">
        <f t="shared" si="72"/>
        <v>58522.229999999996</v>
      </c>
      <c r="AO297" s="51">
        <f t="shared" si="70"/>
        <v>0</v>
      </c>
      <c r="AP297" s="125" t="s">
        <v>1296</v>
      </c>
      <c r="AQ297" s="52">
        <v>25225.1</v>
      </c>
      <c r="AR297" s="52">
        <v>25225.1</v>
      </c>
      <c r="AS297" s="51">
        <f t="shared" si="67"/>
        <v>0</v>
      </c>
      <c r="AT297" s="126">
        <f t="shared" si="65"/>
        <v>7.2759576141834259E-12</v>
      </c>
      <c r="AU297" s="109"/>
      <c r="AV297" s="67"/>
      <c r="AW297" s="4"/>
      <c r="AX297" s="4"/>
      <c r="AY297" s="4"/>
      <c r="AZ297" s="4"/>
      <c r="BA297" s="4"/>
      <c r="BB297" s="4"/>
    </row>
    <row r="298" spans="1:54" ht="20.25" hidden="1" customHeight="1" x14ac:dyDescent="0.2">
      <c r="A298" s="32">
        <v>636</v>
      </c>
      <c r="B298" s="94" t="s">
        <v>1304</v>
      </c>
      <c r="C298" s="116" t="s">
        <v>1305</v>
      </c>
      <c r="D298" s="116">
        <v>555</v>
      </c>
      <c r="E298" s="258"/>
      <c r="F298" s="36"/>
      <c r="G298" s="36"/>
      <c r="H298" s="67" t="s">
        <v>60</v>
      </c>
      <c r="I298" s="158">
        <v>6226</v>
      </c>
      <c r="J298" s="107">
        <v>2</v>
      </c>
      <c r="K298" s="39">
        <v>2</v>
      </c>
      <c r="L298" s="157" t="s">
        <v>61</v>
      </c>
      <c r="M298" s="153" t="s">
        <v>108</v>
      </c>
      <c r="N298" s="42" t="s">
        <v>76</v>
      </c>
      <c r="O298" s="117" t="s">
        <v>88</v>
      </c>
      <c r="P298" s="67" t="s">
        <v>821</v>
      </c>
      <c r="Q298" s="67" t="s">
        <v>1307</v>
      </c>
      <c r="R298" s="254"/>
      <c r="S298" s="52">
        <f t="shared" si="73"/>
        <v>58632.5</v>
      </c>
      <c r="T298" s="52">
        <v>58632.5</v>
      </c>
      <c r="U298" s="52">
        <v>0</v>
      </c>
      <c r="V298" s="109" t="s">
        <v>1240</v>
      </c>
      <c r="W298" s="154">
        <v>41941</v>
      </c>
      <c r="X298" s="109"/>
      <c r="Y298" s="109" t="s">
        <v>234</v>
      </c>
      <c r="Z298" s="155"/>
      <c r="AA298" s="155"/>
      <c r="AB298" s="155">
        <f t="shared" si="68"/>
        <v>0</v>
      </c>
      <c r="AC298" s="109"/>
      <c r="AD298" s="154"/>
      <c r="AE298" s="51">
        <f t="shared" si="74"/>
        <v>0</v>
      </c>
      <c r="AF298" s="52">
        <f t="shared" si="75"/>
        <v>110.2699999999968</v>
      </c>
      <c r="AG298" s="52">
        <v>58522.23</v>
      </c>
      <c r="AH298" s="52">
        <f>29261.11+29261.12</f>
        <v>58522.229999999996</v>
      </c>
      <c r="AI298" s="52">
        <f t="shared" si="64"/>
        <v>7.2759576141834259E-12</v>
      </c>
      <c r="AJ298" s="156">
        <v>0</v>
      </c>
      <c r="AK298" s="155">
        <v>0</v>
      </c>
      <c r="AL298" s="52">
        <f t="shared" si="69"/>
        <v>0</v>
      </c>
      <c r="AM298" s="52">
        <f t="shared" si="71"/>
        <v>58522.23</v>
      </c>
      <c r="AN298" s="51">
        <f t="shared" si="72"/>
        <v>58522.229999999996</v>
      </c>
      <c r="AO298" s="51">
        <f t="shared" si="70"/>
        <v>0</v>
      </c>
      <c r="AP298" s="125" t="s">
        <v>1296</v>
      </c>
      <c r="AQ298" s="52">
        <v>25225.1</v>
      </c>
      <c r="AR298" s="52">
        <v>25225.1</v>
      </c>
      <c r="AS298" s="51">
        <f t="shared" si="67"/>
        <v>0</v>
      </c>
      <c r="AT298" s="126">
        <f t="shared" si="65"/>
        <v>110.27000000000407</v>
      </c>
      <c r="AU298" s="109"/>
      <c r="AV298" s="67"/>
      <c r="AW298" s="4"/>
      <c r="AX298" s="4"/>
      <c r="AY298" s="4"/>
      <c r="AZ298" s="4"/>
      <c r="BA298" s="4"/>
      <c r="BB298" s="4"/>
    </row>
    <row r="299" spans="1:54" ht="20.25" hidden="1" customHeight="1" x14ac:dyDescent="0.2">
      <c r="A299" s="32">
        <v>636</v>
      </c>
      <c r="B299" s="94" t="s">
        <v>1308</v>
      </c>
      <c r="C299" s="116" t="s">
        <v>1309</v>
      </c>
      <c r="D299" s="107"/>
      <c r="E299" s="256" t="s">
        <v>1302</v>
      </c>
      <c r="F299" s="82"/>
      <c r="G299" s="82">
        <v>1</v>
      </c>
      <c r="H299" s="33" t="s">
        <v>1275</v>
      </c>
      <c r="I299" s="107">
        <v>6226</v>
      </c>
      <c r="J299" s="107">
        <v>2</v>
      </c>
      <c r="K299" s="39">
        <v>6</v>
      </c>
      <c r="L299" s="118" t="s">
        <v>1122</v>
      </c>
      <c r="M299" s="147" t="s">
        <v>108</v>
      </c>
      <c r="N299" s="42" t="s">
        <v>76</v>
      </c>
      <c r="O299" s="148" t="s">
        <v>88</v>
      </c>
      <c r="P299" s="46" t="s">
        <v>821</v>
      </c>
      <c r="Q299" s="46" t="s">
        <v>1310</v>
      </c>
      <c r="R299" s="257"/>
      <c r="S299" s="45">
        <f t="shared" si="73"/>
        <v>58632.5</v>
      </c>
      <c r="T299" s="45">
        <v>58632.5</v>
      </c>
      <c r="U299" s="45">
        <v>0</v>
      </c>
      <c r="V299" s="109" t="s">
        <v>1240</v>
      </c>
      <c r="W299" s="63">
        <v>41941</v>
      </c>
      <c r="X299" s="48"/>
      <c r="Y299" s="109" t="s">
        <v>234</v>
      </c>
      <c r="Z299" s="45"/>
      <c r="AA299" s="45"/>
      <c r="AB299" s="45"/>
      <c r="AC299" s="48"/>
      <c r="AD299" s="63"/>
      <c r="AE299" s="51">
        <f t="shared" si="74"/>
        <v>0</v>
      </c>
      <c r="AF299" s="52">
        <f t="shared" si="75"/>
        <v>110.2699999999968</v>
      </c>
      <c r="AG299" s="52">
        <v>58522.23</v>
      </c>
      <c r="AH299" s="52">
        <f>29261.12+29261.11</f>
        <v>58522.229999999996</v>
      </c>
      <c r="AI299" s="52">
        <f t="shared" si="64"/>
        <v>7.2759576141834259E-12</v>
      </c>
      <c r="AJ299" s="163">
        <v>0</v>
      </c>
      <c r="AK299" s="52">
        <v>0</v>
      </c>
      <c r="AL299" s="52">
        <f t="shared" si="69"/>
        <v>0</v>
      </c>
      <c r="AM299" s="52">
        <f t="shared" si="71"/>
        <v>58522.23</v>
      </c>
      <c r="AN299" s="51">
        <f t="shared" si="72"/>
        <v>58522.229999999996</v>
      </c>
      <c r="AO299" s="51">
        <f t="shared" si="70"/>
        <v>0</v>
      </c>
      <c r="AP299" s="125" t="s">
        <v>1296</v>
      </c>
      <c r="AQ299" s="52">
        <v>25225.1</v>
      </c>
      <c r="AR299" s="52">
        <v>25225.1</v>
      </c>
      <c r="AS299" s="51">
        <f t="shared" si="67"/>
        <v>0</v>
      </c>
      <c r="AT299" s="126">
        <f t="shared" si="65"/>
        <v>110.27000000000407</v>
      </c>
      <c r="AU299" s="48"/>
      <c r="AV299" s="46"/>
    </row>
    <row r="300" spans="1:54" ht="20.25" hidden="1" customHeight="1" x14ac:dyDescent="0.2">
      <c r="A300" s="32">
        <v>636</v>
      </c>
      <c r="B300" s="94" t="s">
        <v>1308</v>
      </c>
      <c r="C300" s="116" t="s">
        <v>1309</v>
      </c>
      <c r="D300" s="107"/>
      <c r="E300" s="258"/>
      <c r="F300" s="36"/>
      <c r="G300" s="36">
        <v>1</v>
      </c>
      <c r="H300" s="33" t="s">
        <v>60</v>
      </c>
      <c r="I300" s="107"/>
      <c r="J300" s="107">
        <v>2</v>
      </c>
      <c r="K300" s="39">
        <v>2</v>
      </c>
      <c r="L300" s="118" t="s">
        <v>137</v>
      </c>
      <c r="M300" s="147" t="s">
        <v>108</v>
      </c>
      <c r="N300" s="42" t="s">
        <v>76</v>
      </c>
      <c r="O300" s="148" t="s">
        <v>88</v>
      </c>
      <c r="P300" s="46" t="s">
        <v>821</v>
      </c>
      <c r="Q300" s="46" t="s">
        <v>1310</v>
      </c>
      <c r="R300" s="257"/>
      <c r="S300" s="45">
        <f t="shared" si="73"/>
        <v>58632.5</v>
      </c>
      <c r="T300" s="45">
        <v>58632.5</v>
      </c>
      <c r="U300" s="45">
        <v>0</v>
      </c>
      <c r="V300" s="109" t="s">
        <v>1240</v>
      </c>
      <c r="W300" s="63">
        <v>41941</v>
      </c>
      <c r="X300" s="48"/>
      <c r="Y300" s="109" t="s">
        <v>234</v>
      </c>
      <c r="Z300" s="45"/>
      <c r="AA300" s="45"/>
      <c r="AB300" s="45"/>
      <c r="AC300" s="48"/>
      <c r="AD300" s="63"/>
      <c r="AE300" s="51">
        <f t="shared" si="74"/>
        <v>0</v>
      </c>
      <c r="AF300" s="52">
        <f t="shared" si="75"/>
        <v>110.2699999999968</v>
      </c>
      <c r="AG300" s="52">
        <v>58522.23</v>
      </c>
      <c r="AH300" s="52">
        <f>29261.11+29261.12</f>
        <v>58522.229999999996</v>
      </c>
      <c r="AI300" s="52">
        <f t="shared" ref="AI300:AI350" si="76">SUM(AG300-AH300)</f>
        <v>7.2759576141834259E-12</v>
      </c>
      <c r="AJ300" s="124">
        <v>0</v>
      </c>
      <c r="AK300" s="45">
        <v>0</v>
      </c>
      <c r="AL300" s="52">
        <f t="shared" si="69"/>
        <v>0</v>
      </c>
      <c r="AM300" s="52">
        <f t="shared" si="71"/>
        <v>58522.23</v>
      </c>
      <c r="AN300" s="51">
        <f t="shared" si="72"/>
        <v>58522.229999999996</v>
      </c>
      <c r="AO300" s="51">
        <f t="shared" si="70"/>
        <v>0</v>
      </c>
      <c r="AP300" s="125" t="s">
        <v>1296</v>
      </c>
      <c r="AQ300" s="52">
        <v>25225.1</v>
      </c>
      <c r="AR300" s="52">
        <v>25225.1</v>
      </c>
      <c r="AS300" s="51">
        <f t="shared" si="67"/>
        <v>0</v>
      </c>
      <c r="AT300" s="126">
        <f t="shared" ref="AT300:AT350" si="77">SUM(S300-AN300)</f>
        <v>110.27000000000407</v>
      </c>
      <c r="AU300" s="48"/>
      <c r="AV300" s="46"/>
    </row>
    <row r="301" spans="1:54" ht="26.25" hidden="1" customHeight="1" x14ac:dyDescent="0.2">
      <c r="A301" s="32">
        <v>636</v>
      </c>
      <c r="B301" s="94" t="s">
        <v>1311</v>
      </c>
      <c r="C301" s="116" t="s">
        <v>1312</v>
      </c>
      <c r="D301" s="107"/>
      <c r="E301" s="256" t="s">
        <v>1302</v>
      </c>
      <c r="F301" s="82"/>
      <c r="G301" s="82">
        <v>1</v>
      </c>
      <c r="H301" s="67" t="s">
        <v>1166</v>
      </c>
      <c r="I301" s="158">
        <v>6226</v>
      </c>
      <c r="J301" s="107">
        <v>2</v>
      </c>
      <c r="K301" s="39">
        <v>6</v>
      </c>
      <c r="L301" s="152" t="s">
        <v>1122</v>
      </c>
      <c r="M301" s="153" t="s">
        <v>108</v>
      </c>
      <c r="N301" s="42" t="s">
        <v>76</v>
      </c>
      <c r="O301" s="117" t="s">
        <v>88</v>
      </c>
      <c r="P301" s="67" t="s">
        <v>821</v>
      </c>
      <c r="Q301" s="67" t="s">
        <v>1313</v>
      </c>
      <c r="R301" s="254"/>
      <c r="S301" s="45">
        <f t="shared" si="73"/>
        <v>58632.5</v>
      </c>
      <c r="T301" s="45">
        <v>58632.5</v>
      </c>
      <c r="U301" s="45">
        <v>0</v>
      </c>
      <c r="V301" s="109" t="s">
        <v>1240</v>
      </c>
      <c r="W301" s="154">
        <v>41941</v>
      </c>
      <c r="X301" s="109"/>
      <c r="Y301" s="109" t="s">
        <v>234</v>
      </c>
      <c r="Z301" s="155"/>
      <c r="AA301" s="155"/>
      <c r="AB301" s="155">
        <f t="shared" ref="AB301:AB308" si="78">Z301-AA301</f>
        <v>0</v>
      </c>
      <c r="AC301" s="109"/>
      <c r="AD301" s="154"/>
      <c r="AE301" s="51">
        <f t="shared" si="74"/>
        <v>0</v>
      </c>
      <c r="AF301" s="52">
        <f t="shared" si="75"/>
        <v>110.2699999999968</v>
      </c>
      <c r="AG301" s="52">
        <v>58522.23</v>
      </c>
      <c r="AH301" s="52">
        <f>29261.12+29261.11</f>
        <v>58522.229999999996</v>
      </c>
      <c r="AI301" s="52">
        <f t="shared" si="76"/>
        <v>7.2759576141834259E-12</v>
      </c>
      <c r="AJ301" s="163">
        <v>0</v>
      </c>
      <c r="AK301" s="52">
        <v>0</v>
      </c>
      <c r="AL301" s="52">
        <f t="shared" si="69"/>
        <v>0</v>
      </c>
      <c r="AM301" s="52">
        <f t="shared" si="71"/>
        <v>58522.23</v>
      </c>
      <c r="AN301" s="51">
        <f t="shared" si="72"/>
        <v>58522.229999999996</v>
      </c>
      <c r="AO301" s="51">
        <f t="shared" si="70"/>
        <v>0</v>
      </c>
      <c r="AP301" s="125" t="s">
        <v>1296</v>
      </c>
      <c r="AQ301" s="52">
        <v>25225.1</v>
      </c>
      <c r="AR301" s="52">
        <v>25225.1</v>
      </c>
      <c r="AS301" s="51">
        <f t="shared" si="67"/>
        <v>0</v>
      </c>
      <c r="AT301" s="126">
        <f t="shared" si="77"/>
        <v>110.27000000000407</v>
      </c>
      <c r="AU301" s="109"/>
      <c r="AV301" s="67"/>
      <c r="AW301" s="4"/>
      <c r="AX301" s="4"/>
      <c r="AY301" s="4"/>
      <c r="AZ301" s="4"/>
      <c r="BA301" s="4"/>
      <c r="BB301" s="4"/>
    </row>
    <row r="302" spans="1:54" ht="26.25" hidden="1" customHeight="1" x14ac:dyDescent="0.2">
      <c r="A302" s="32">
        <v>636</v>
      </c>
      <c r="B302" s="94" t="s">
        <v>1311</v>
      </c>
      <c r="C302" s="116" t="s">
        <v>1312</v>
      </c>
      <c r="D302" s="107"/>
      <c r="E302" s="258"/>
      <c r="F302" s="36"/>
      <c r="G302" s="36">
        <v>1</v>
      </c>
      <c r="H302" s="67" t="s">
        <v>60</v>
      </c>
      <c r="I302" s="158">
        <v>6226</v>
      </c>
      <c r="J302" s="107">
        <v>2</v>
      </c>
      <c r="K302" s="39">
        <v>2</v>
      </c>
      <c r="L302" s="157" t="s">
        <v>61</v>
      </c>
      <c r="M302" s="153" t="s">
        <v>108</v>
      </c>
      <c r="N302" s="42" t="s">
        <v>76</v>
      </c>
      <c r="O302" s="117" t="s">
        <v>88</v>
      </c>
      <c r="P302" s="67" t="s">
        <v>821</v>
      </c>
      <c r="Q302" s="67" t="s">
        <v>1313</v>
      </c>
      <c r="R302" s="254"/>
      <c r="S302" s="45">
        <f t="shared" si="73"/>
        <v>58632.5</v>
      </c>
      <c r="T302" s="45">
        <v>58632.5</v>
      </c>
      <c r="U302" s="45">
        <v>0</v>
      </c>
      <c r="V302" s="109" t="s">
        <v>1240</v>
      </c>
      <c r="W302" s="154">
        <v>41941</v>
      </c>
      <c r="X302" s="109"/>
      <c r="Y302" s="109" t="s">
        <v>234</v>
      </c>
      <c r="Z302" s="155"/>
      <c r="AA302" s="155"/>
      <c r="AB302" s="155">
        <f t="shared" si="78"/>
        <v>0</v>
      </c>
      <c r="AC302" s="109"/>
      <c r="AD302" s="154"/>
      <c r="AE302" s="51">
        <f t="shared" si="74"/>
        <v>0</v>
      </c>
      <c r="AF302" s="52">
        <f t="shared" si="75"/>
        <v>110.2699999999968</v>
      </c>
      <c r="AG302" s="52">
        <v>58522.23</v>
      </c>
      <c r="AH302" s="52">
        <f>29261.11+29261.12</f>
        <v>58522.229999999996</v>
      </c>
      <c r="AI302" s="52">
        <f t="shared" si="76"/>
        <v>7.2759576141834259E-12</v>
      </c>
      <c r="AJ302" s="156">
        <v>0</v>
      </c>
      <c r="AK302" s="155">
        <v>0</v>
      </c>
      <c r="AL302" s="52">
        <f t="shared" si="69"/>
        <v>0</v>
      </c>
      <c r="AM302" s="52">
        <f t="shared" si="71"/>
        <v>58522.23</v>
      </c>
      <c r="AN302" s="51">
        <f t="shared" si="72"/>
        <v>58522.229999999996</v>
      </c>
      <c r="AO302" s="51">
        <f t="shared" si="70"/>
        <v>0</v>
      </c>
      <c r="AP302" s="125" t="s">
        <v>1296</v>
      </c>
      <c r="AQ302" s="52">
        <v>25225.1</v>
      </c>
      <c r="AR302" s="52">
        <v>25225.1</v>
      </c>
      <c r="AS302" s="51">
        <f t="shared" si="67"/>
        <v>0</v>
      </c>
      <c r="AT302" s="126">
        <f t="shared" si="77"/>
        <v>110.27000000000407</v>
      </c>
      <c r="AU302" s="109"/>
      <c r="AV302" s="67"/>
      <c r="AW302" s="4"/>
      <c r="AX302" s="4"/>
      <c r="AY302" s="4"/>
      <c r="AZ302" s="4"/>
      <c r="BA302" s="4"/>
      <c r="BB302" s="4"/>
    </row>
    <row r="303" spans="1:54" ht="20.25" hidden="1" customHeight="1" x14ac:dyDescent="0.2">
      <c r="A303" s="32">
        <v>636</v>
      </c>
      <c r="B303" s="94" t="s">
        <v>1314</v>
      </c>
      <c r="C303" s="116" t="s">
        <v>1315</v>
      </c>
      <c r="D303" s="107">
        <v>558</v>
      </c>
      <c r="E303" s="256" t="s">
        <v>1302</v>
      </c>
      <c r="F303" s="82"/>
      <c r="G303" s="82">
        <v>1</v>
      </c>
      <c r="H303" s="67" t="s">
        <v>1166</v>
      </c>
      <c r="I303" s="158">
        <v>6226</v>
      </c>
      <c r="J303" s="107">
        <v>2</v>
      </c>
      <c r="K303" s="39">
        <v>6</v>
      </c>
      <c r="L303" s="152" t="s">
        <v>1122</v>
      </c>
      <c r="M303" s="153" t="s">
        <v>108</v>
      </c>
      <c r="N303" s="42" t="s">
        <v>76</v>
      </c>
      <c r="O303" s="117" t="s">
        <v>88</v>
      </c>
      <c r="P303" s="67" t="s">
        <v>821</v>
      </c>
      <c r="Q303" s="67" t="s">
        <v>1023</v>
      </c>
      <c r="R303" s="254"/>
      <c r="S303" s="45">
        <f t="shared" si="73"/>
        <v>58632.5</v>
      </c>
      <c r="T303" s="45">
        <v>58632.5</v>
      </c>
      <c r="U303" s="45">
        <v>0</v>
      </c>
      <c r="V303" s="109" t="s">
        <v>1240</v>
      </c>
      <c r="W303" s="154">
        <v>41941</v>
      </c>
      <c r="X303" s="109"/>
      <c r="Y303" s="109" t="s">
        <v>234</v>
      </c>
      <c r="Z303" s="155"/>
      <c r="AA303" s="155"/>
      <c r="AB303" s="155">
        <f t="shared" si="78"/>
        <v>0</v>
      </c>
      <c r="AC303" s="109"/>
      <c r="AD303" s="154"/>
      <c r="AE303" s="51">
        <f t="shared" si="74"/>
        <v>0</v>
      </c>
      <c r="AF303" s="52">
        <f t="shared" si="75"/>
        <v>110.2699999999968</v>
      </c>
      <c r="AG303" s="52">
        <v>58522.23</v>
      </c>
      <c r="AH303" s="52">
        <f>29261.12+29261.11</f>
        <v>58522.229999999996</v>
      </c>
      <c r="AI303" s="52">
        <f t="shared" si="76"/>
        <v>7.2759576141834259E-12</v>
      </c>
      <c r="AJ303" s="163">
        <v>0</v>
      </c>
      <c r="AK303" s="52">
        <v>0</v>
      </c>
      <c r="AL303" s="52">
        <f t="shared" si="69"/>
        <v>0</v>
      </c>
      <c r="AM303" s="52">
        <f t="shared" si="71"/>
        <v>58522.23</v>
      </c>
      <c r="AN303" s="51">
        <f t="shared" si="72"/>
        <v>58522.229999999996</v>
      </c>
      <c r="AO303" s="51">
        <f t="shared" si="70"/>
        <v>0</v>
      </c>
      <c r="AP303" s="125" t="s">
        <v>1296</v>
      </c>
      <c r="AQ303" s="52">
        <v>25225.1</v>
      </c>
      <c r="AR303" s="52">
        <v>25225.1</v>
      </c>
      <c r="AS303" s="51">
        <f t="shared" si="67"/>
        <v>0</v>
      </c>
      <c r="AT303" s="126">
        <f t="shared" si="77"/>
        <v>110.27000000000407</v>
      </c>
      <c r="AU303" s="109"/>
      <c r="AV303" s="67"/>
      <c r="AW303" s="4"/>
      <c r="AX303" s="4"/>
      <c r="AY303" s="4"/>
      <c r="AZ303" s="4"/>
      <c r="BA303" s="4"/>
      <c r="BB303" s="4"/>
    </row>
    <row r="304" spans="1:54" ht="20.25" hidden="1" customHeight="1" x14ac:dyDescent="0.2">
      <c r="A304" s="32">
        <v>636</v>
      </c>
      <c r="B304" s="94" t="s">
        <v>1314</v>
      </c>
      <c r="C304" s="116" t="s">
        <v>1315</v>
      </c>
      <c r="D304" s="107">
        <v>559</v>
      </c>
      <c r="E304" s="258"/>
      <c r="F304" s="36"/>
      <c r="G304" s="36">
        <v>1</v>
      </c>
      <c r="H304" s="67" t="s">
        <v>60</v>
      </c>
      <c r="I304" s="158">
        <v>6226</v>
      </c>
      <c r="J304" s="107">
        <v>2</v>
      </c>
      <c r="K304" s="39">
        <v>2</v>
      </c>
      <c r="L304" s="157" t="s">
        <v>61</v>
      </c>
      <c r="M304" s="153" t="s">
        <v>108</v>
      </c>
      <c r="N304" s="42" t="s">
        <v>76</v>
      </c>
      <c r="O304" s="117" t="s">
        <v>88</v>
      </c>
      <c r="P304" s="67" t="s">
        <v>821</v>
      </c>
      <c r="Q304" s="67" t="s">
        <v>1023</v>
      </c>
      <c r="R304" s="254"/>
      <c r="S304" s="45">
        <f t="shared" si="73"/>
        <v>58632.5</v>
      </c>
      <c r="T304" s="45">
        <v>58632.5</v>
      </c>
      <c r="U304" s="45">
        <v>0</v>
      </c>
      <c r="V304" s="109" t="s">
        <v>1240</v>
      </c>
      <c r="W304" s="154">
        <v>41941</v>
      </c>
      <c r="X304" s="109"/>
      <c r="Y304" s="109" t="s">
        <v>234</v>
      </c>
      <c r="Z304" s="155"/>
      <c r="AA304" s="155"/>
      <c r="AB304" s="155">
        <f t="shared" si="78"/>
        <v>0</v>
      </c>
      <c r="AC304" s="109"/>
      <c r="AD304" s="154"/>
      <c r="AE304" s="51">
        <f t="shared" si="74"/>
        <v>0</v>
      </c>
      <c r="AF304" s="52">
        <f t="shared" si="75"/>
        <v>110.2699999999968</v>
      </c>
      <c r="AG304" s="52">
        <v>58522.23</v>
      </c>
      <c r="AH304" s="52">
        <f>29261.11+29261.12</f>
        <v>58522.229999999996</v>
      </c>
      <c r="AI304" s="52">
        <f t="shared" si="76"/>
        <v>7.2759576141834259E-12</v>
      </c>
      <c r="AJ304" s="156">
        <v>0</v>
      </c>
      <c r="AK304" s="155">
        <v>0</v>
      </c>
      <c r="AL304" s="52">
        <f t="shared" si="69"/>
        <v>0</v>
      </c>
      <c r="AM304" s="52">
        <f t="shared" si="71"/>
        <v>58522.23</v>
      </c>
      <c r="AN304" s="51">
        <f t="shared" si="72"/>
        <v>58522.229999999996</v>
      </c>
      <c r="AO304" s="51">
        <f t="shared" si="70"/>
        <v>0</v>
      </c>
      <c r="AP304" s="125" t="s">
        <v>1296</v>
      </c>
      <c r="AQ304" s="52">
        <v>25225.1</v>
      </c>
      <c r="AR304" s="52">
        <v>25225.1</v>
      </c>
      <c r="AS304" s="51">
        <f t="shared" si="67"/>
        <v>0</v>
      </c>
      <c r="AT304" s="126">
        <f t="shared" si="77"/>
        <v>110.27000000000407</v>
      </c>
      <c r="AU304" s="109"/>
      <c r="AV304" s="67"/>
      <c r="AW304" s="4"/>
      <c r="AX304" s="4"/>
      <c r="AY304" s="4"/>
      <c r="AZ304" s="4"/>
      <c r="BA304" s="4"/>
      <c r="BB304" s="4"/>
    </row>
    <row r="305" spans="1:54" ht="20.25" hidden="1" customHeight="1" x14ac:dyDescent="0.2">
      <c r="A305" s="32">
        <v>636</v>
      </c>
      <c r="B305" s="94" t="s">
        <v>1316</v>
      </c>
      <c r="C305" s="116" t="s">
        <v>1317</v>
      </c>
      <c r="D305" s="107">
        <v>588</v>
      </c>
      <c r="E305" s="256" t="s">
        <v>1302</v>
      </c>
      <c r="F305" s="82"/>
      <c r="G305" s="82">
        <v>1</v>
      </c>
      <c r="H305" s="67" t="s">
        <v>1166</v>
      </c>
      <c r="I305" s="158">
        <v>6226</v>
      </c>
      <c r="J305" s="107">
        <v>2</v>
      </c>
      <c r="K305" s="39">
        <v>6</v>
      </c>
      <c r="L305" s="152" t="s">
        <v>1122</v>
      </c>
      <c r="M305" s="153" t="s">
        <v>108</v>
      </c>
      <c r="N305" s="42" t="s">
        <v>76</v>
      </c>
      <c r="O305" s="117" t="s">
        <v>88</v>
      </c>
      <c r="P305" s="67" t="s">
        <v>821</v>
      </c>
      <c r="Q305" s="67" t="s">
        <v>1318</v>
      </c>
      <c r="R305" s="254"/>
      <c r="S305" s="45">
        <f t="shared" si="73"/>
        <v>58632.5</v>
      </c>
      <c r="T305" s="45">
        <v>58632.5</v>
      </c>
      <c r="U305" s="45">
        <v>0</v>
      </c>
      <c r="V305" s="109" t="s">
        <v>1240</v>
      </c>
      <c r="W305" s="154">
        <v>41941</v>
      </c>
      <c r="X305" s="109"/>
      <c r="Y305" s="109" t="s">
        <v>234</v>
      </c>
      <c r="Z305" s="155"/>
      <c r="AA305" s="155"/>
      <c r="AB305" s="155">
        <f t="shared" si="78"/>
        <v>0</v>
      </c>
      <c r="AC305" s="109"/>
      <c r="AD305" s="154"/>
      <c r="AE305" s="51">
        <f t="shared" si="74"/>
        <v>0</v>
      </c>
      <c r="AF305" s="52">
        <f t="shared" si="75"/>
        <v>110.2699999999968</v>
      </c>
      <c r="AG305" s="52">
        <v>58522.23</v>
      </c>
      <c r="AH305" s="52">
        <f>29261.12+29261.11</f>
        <v>58522.229999999996</v>
      </c>
      <c r="AI305" s="52">
        <f t="shared" si="76"/>
        <v>7.2759576141834259E-12</v>
      </c>
      <c r="AJ305" s="163">
        <v>0</v>
      </c>
      <c r="AK305" s="52">
        <v>0</v>
      </c>
      <c r="AL305" s="52">
        <f t="shared" si="69"/>
        <v>0</v>
      </c>
      <c r="AM305" s="52">
        <f t="shared" si="71"/>
        <v>58522.23</v>
      </c>
      <c r="AN305" s="51">
        <f t="shared" si="72"/>
        <v>58522.229999999996</v>
      </c>
      <c r="AO305" s="51">
        <f t="shared" si="70"/>
        <v>0</v>
      </c>
      <c r="AP305" s="125" t="s">
        <v>1296</v>
      </c>
      <c r="AQ305" s="52">
        <v>25225.1</v>
      </c>
      <c r="AR305" s="52">
        <v>25225.1</v>
      </c>
      <c r="AS305" s="51">
        <f t="shared" si="67"/>
        <v>0</v>
      </c>
      <c r="AT305" s="126">
        <f t="shared" si="77"/>
        <v>110.27000000000407</v>
      </c>
      <c r="AU305" s="109"/>
      <c r="AV305" s="67"/>
      <c r="AW305" s="4"/>
      <c r="AX305" s="4"/>
      <c r="AY305" s="4"/>
      <c r="AZ305" s="4"/>
      <c r="BA305" s="4"/>
      <c r="BB305" s="4"/>
    </row>
    <row r="306" spans="1:54" ht="20.25" hidden="1" customHeight="1" x14ac:dyDescent="0.2">
      <c r="A306" s="32">
        <v>636</v>
      </c>
      <c r="B306" s="94" t="s">
        <v>1316</v>
      </c>
      <c r="C306" s="116" t="s">
        <v>1317</v>
      </c>
      <c r="D306" s="107">
        <v>589</v>
      </c>
      <c r="E306" s="258"/>
      <c r="F306" s="36"/>
      <c r="G306" s="36">
        <v>1</v>
      </c>
      <c r="H306" s="67" t="s">
        <v>60</v>
      </c>
      <c r="I306" s="158">
        <v>6226</v>
      </c>
      <c r="J306" s="107">
        <v>2</v>
      </c>
      <c r="K306" s="39">
        <v>2</v>
      </c>
      <c r="L306" s="157" t="s">
        <v>61</v>
      </c>
      <c r="M306" s="153" t="s">
        <v>108</v>
      </c>
      <c r="N306" s="42" t="s">
        <v>76</v>
      </c>
      <c r="O306" s="117" t="s">
        <v>88</v>
      </c>
      <c r="P306" s="67" t="s">
        <v>821</v>
      </c>
      <c r="Q306" s="67" t="s">
        <v>1318</v>
      </c>
      <c r="R306" s="255"/>
      <c r="S306" s="45">
        <f t="shared" si="73"/>
        <v>58632.5</v>
      </c>
      <c r="T306" s="45">
        <v>58632.5</v>
      </c>
      <c r="U306" s="45">
        <v>0</v>
      </c>
      <c r="V306" s="109" t="s">
        <v>1240</v>
      </c>
      <c r="W306" s="154">
        <v>41941</v>
      </c>
      <c r="X306" s="109"/>
      <c r="Y306" s="109" t="s">
        <v>234</v>
      </c>
      <c r="Z306" s="155"/>
      <c r="AA306" s="155"/>
      <c r="AB306" s="155">
        <f t="shared" si="78"/>
        <v>0</v>
      </c>
      <c r="AC306" s="109"/>
      <c r="AD306" s="154"/>
      <c r="AE306" s="51">
        <f t="shared" si="74"/>
        <v>0</v>
      </c>
      <c r="AF306" s="52">
        <f t="shared" si="75"/>
        <v>110.2699999999968</v>
      </c>
      <c r="AG306" s="52">
        <v>58522.23</v>
      </c>
      <c r="AH306" s="52">
        <f>29261.11+29261.12</f>
        <v>58522.229999999996</v>
      </c>
      <c r="AI306" s="52">
        <f t="shared" si="76"/>
        <v>7.2759576141834259E-12</v>
      </c>
      <c r="AJ306" s="156">
        <v>0</v>
      </c>
      <c r="AK306" s="155">
        <v>0</v>
      </c>
      <c r="AL306" s="52">
        <f t="shared" si="69"/>
        <v>0</v>
      </c>
      <c r="AM306" s="52">
        <f t="shared" si="71"/>
        <v>58522.23</v>
      </c>
      <c r="AN306" s="51">
        <f t="shared" si="72"/>
        <v>58522.229999999996</v>
      </c>
      <c r="AO306" s="51">
        <f t="shared" si="70"/>
        <v>0</v>
      </c>
      <c r="AP306" s="125" t="s">
        <v>1296</v>
      </c>
      <c r="AQ306" s="52">
        <v>25225.1</v>
      </c>
      <c r="AR306" s="52">
        <v>25225.1</v>
      </c>
      <c r="AS306" s="51">
        <f t="shared" si="67"/>
        <v>0</v>
      </c>
      <c r="AT306" s="126">
        <f t="shared" si="77"/>
        <v>110.27000000000407</v>
      </c>
      <c r="AU306" s="109"/>
      <c r="AV306" s="67"/>
      <c r="AW306" s="4"/>
      <c r="AX306" s="4"/>
      <c r="AY306" s="4"/>
      <c r="AZ306" s="4"/>
      <c r="BA306" s="4"/>
      <c r="BB306" s="4"/>
    </row>
    <row r="307" spans="1:54" ht="26.25" hidden="1" customHeight="1" x14ac:dyDescent="0.2">
      <c r="A307" s="32">
        <v>636</v>
      </c>
      <c r="B307" s="94" t="s">
        <v>1319</v>
      </c>
      <c r="C307" s="116" t="s">
        <v>1320</v>
      </c>
      <c r="D307" s="107">
        <v>596</v>
      </c>
      <c r="E307" s="256" t="s">
        <v>1321</v>
      </c>
      <c r="F307" s="159">
        <v>2487</v>
      </c>
      <c r="G307" s="159"/>
      <c r="H307" s="67" t="s">
        <v>1166</v>
      </c>
      <c r="I307" s="158">
        <v>6226</v>
      </c>
      <c r="J307" s="107">
        <v>2</v>
      </c>
      <c r="K307" s="39">
        <v>6</v>
      </c>
      <c r="L307" s="152" t="s">
        <v>1122</v>
      </c>
      <c r="M307" s="153" t="s">
        <v>108</v>
      </c>
      <c r="N307" s="42" t="s">
        <v>76</v>
      </c>
      <c r="O307" s="117" t="s">
        <v>88</v>
      </c>
      <c r="P307" s="67" t="s">
        <v>786</v>
      </c>
      <c r="Q307" s="67" t="s">
        <v>1322</v>
      </c>
      <c r="R307" s="253" t="s">
        <v>1323</v>
      </c>
      <c r="S307" s="45">
        <f t="shared" si="73"/>
        <v>58522.23</v>
      </c>
      <c r="T307" s="45">
        <f>58632.5-110.27</f>
        <v>58522.23</v>
      </c>
      <c r="U307" s="45">
        <v>0</v>
      </c>
      <c r="V307" s="109" t="s">
        <v>1240</v>
      </c>
      <c r="W307" s="154">
        <v>41941</v>
      </c>
      <c r="X307" s="109"/>
      <c r="Y307" s="109" t="s">
        <v>234</v>
      </c>
      <c r="Z307" s="155"/>
      <c r="AA307" s="155"/>
      <c r="AB307" s="155">
        <f t="shared" si="78"/>
        <v>0</v>
      </c>
      <c r="AC307" s="109"/>
      <c r="AD307" s="154"/>
      <c r="AE307" s="51">
        <f t="shared" si="74"/>
        <v>0</v>
      </c>
      <c r="AF307" s="52">
        <f t="shared" si="75"/>
        <v>0</v>
      </c>
      <c r="AG307" s="52">
        <v>58522.23</v>
      </c>
      <c r="AH307" s="52">
        <f>29261.12+29261.11</f>
        <v>58522.229999999996</v>
      </c>
      <c r="AI307" s="52">
        <f t="shared" si="76"/>
        <v>7.2759576141834259E-12</v>
      </c>
      <c r="AJ307" s="156">
        <v>0</v>
      </c>
      <c r="AK307" s="155">
        <v>0</v>
      </c>
      <c r="AL307" s="52">
        <f t="shared" si="69"/>
        <v>0</v>
      </c>
      <c r="AM307" s="52">
        <f t="shared" si="71"/>
        <v>58522.23</v>
      </c>
      <c r="AN307" s="51">
        <f t="shared" si="72"/>
        <v>58522.229999999996</v>
      </c>
      <c r="AO307" s="51">
        <f t="shared" si="70"/>
        <v>0</v>
      </c>
      <c r="AP307" s="125" t="s">
        <v>1296</v>
      </c>
      <c r="AQ307" s="52">
        <v>25225.1</v>
      </c>
      <c r="AR307" s="52">
        <v>25225.1</v>
      </c>
      <c r="AS307" s="51">
        <f t="shared" si="67"/>
        <v>0</v>
      </c>
      <c r="AT307" s="126">
        <f t="shared" si="77"/>
        <v>7.2759576141834259E-12</v>
      </c>
      <c r="AU307" s="109"/>
      <c r="AV307" s="67"/>
      <c r="AW307" s="4"/>
      <c r="AX307" s="4"/>
      <c r="AY307" s="4"/>
      <c r="AZ307" s="4"/>
      <c r="BA307" s="4"/>
      <c r="BB307" s="4"/>
    </row>
    <row r="308" spans="1:54" ht="26.25" hidden="1" customHeight="1" x14ac:dyDescent="0.2">
      <c r="A308" s="32">
        <v>636</v>
      </c>
      <c r="B308" s="94" t="s">
        <v>1319</v>
      </c>
      <c r="C308" s="116" t="s">
        <v>1320</v>
      </c>
      <c r="D308" s="107">
        <v>597</v>
      </c>
      <c r="E308" s="258"/>
      <c r="F308" s="160"/>
      <c r="G308" s="160"/>
      <c r="H308" s="67" t="s">
        <v>60</v>
      </c>
      <c r="I308" s="158">
        <v>6226</v>
      </c>
      <c r="J308" s="107">
        <v>2</v>
      </c>
      <c r="K308" s="39">
        <v>2</v>
      </c>
      <c r="L308" s="157" t="s">
        <v>61</v>
      </c>
      <c r="M308" s="153" t="s">
        <v>108</v>
      </c>
      <c r="N308" s="42" t="s">
        <v>76</v>
      </c>
      <c r="O308" s="117" t="s">
        <v>88</v>
      </c>
      <c r="P308" s="67" t="s">
        <v>786</v>
      </c>
      <c r="Q308" s="67" t="s">
        <v>1322</v>
      </c>
      <c r="R308" s="254"/>
      <c r="S308" s="45">
        <f t="shared" si="73"/>
        <v>58632.5</v>
      </c>
      <c r="T308" s="45">
        <v>58632.5</v>
      </c>
      <c r="U308" s="45">
        <v>0</v>
      </c>
      <c r="V308" s="109" t="s">
        <v>1240</v>
      </c>
      <c r="W308" s="154">
        <v>41941</v>
      </c>
      <c r="X308" s="109"/>
      <c r="Y308" s="109" t="s">
        <v>234</v>
      </c>
      <c r="Z308" s="155"/>
      <c r="AA308" s="155"/>
      <c r="AB308" s="155">
        <f t="shared" si="78"/>
        <v>0</v>
      </c>
      <c r="AC308" s="109"/>
      <c r="AD308" s="154"/>
      <c r="AE308" s="51">
        <f t="shared" si="74"/>
        <v>0</v>
      </c>
      <c r="AF308" s="52">
        <f t="shared" si="75"/>
        <v>110.2699999999968</v>
      </c>
      <c r="AG308" s="52">
        <v>58522.23</v>
      </c>
      <c r="AH308" s="52">
        <f>29261.11+29261.12</f>
        <v>58522.229999999996</v>
      </c>
      <c r="AI308" s="52">
        <f t="shared" si="76"/>
        <v>7.2759576141834259E-12</v>
      </c>
      <c r="AJ308" s="156">
        <v>0</v>
      </c>
      <c r="AK308" s="155">
        <v>0</v>
      </c>
      <c r="AL308" s="52">
        <f t="shared" si="69"/>
        <v>0</v>
      </c>
      <c r="AM308" s="52">
        <f t="shared" si="71"/>
        <v>58522.23</v>
      </c>
      <c r="AN308" s="51">
        <f t="shared" si="72"/>
        <v>58522.229999999996</v>
      </c>
      <c r="AO308" s="51">
        <f t="shared" si="70"/>
        <v>0</v>
      </c>
      <c r="AP308" s="125" t="s">
        <v>1296</v>
      </c>
      <c r="AQ308" s="52">
        <v>25225.1</v>
      </c>
      <c r="AR308" s="52">
        <v>25225.1</v>
      </c>
      <c r="AS308" s="51">
        <f t="shared" si="67"/>
        <v>0</v>
      </c>
      <c r="AT308" s="126">
        <f t="shared" si="77"/>
        <v>110.27000000000407</v>
      </c>
      <c r="AU308" s="109"/>
      <c r="AV308" s="67"/>
      <c r="AW308" s="4"/>
      <c r="AX308" s="4"/>
      <c r="AY308" s="4"/>
      <c r="AZ308" s="4"/>
      <c r="BA308" s="4"/>
      <c r="BB308" s="4"/>
    </row>
    <row r="309" spans="1:54" ht="20.25" hidden="1" customHeight="1" x14ac:dyDescent="0.2">
      <c r="A309" s="32">
        <v>636</v>
      </c>
      <c r="B309" s="94" t="s">
        <v>1324</v>
      </c>
      <c r="C309" s="116" t="s">
        <v>1325</v>
      </c>
      <c r="D309" s="107">
        <v>1335</v>
      </c>
      <c r="E309" s="256" t="s">
        <v>1326</v>
      </c>
      <c r="F309" s="82"/>
      <c r="G309" s="82">
        <v>1</v>
      </c>
      <c r="H309" s="67" t="s">
        <v>1166</v>
      </c>
      <c r="I309" s="158">
        <v>6226</v>
      </c>
      <c r="J309" s="107">
        <v>2</v>
      </c>
      <c r="K309" s="39">
        <v>6</v>
      </c>
      <c r="L309" s="152" t="s">
        <v>1122</v>
      </c>
      <c r="M309" s="164" t="s">
        <v>108</v>
      </c>
      <c r="N309" s="42" t="s">
        <v>76</v>
      </c>
      <c r="O309" s="117" t="s">
        <v>88</v>
      </c>
      <c r="P309" s="67" t="s">
        <v>786</v>
      </c>
      <c r="Q309" s="67" t="s">
        <v>1142</v>
      </c>
      <c r="R309" s="254"/>
      <c r="S309" s="45">
        <f>T309+U502</f>
        <v>175897.5</v>
      </c>
      <c r="T309" s="45">
        <v>175897.5</v>
      </c>
      <c r="U309" s="45">
        <v>0</v>
      </c>
      <c r="V309" s="109" t="s">
        <v>1327</v>
      </c>
      <c r="W309" s="154">
        <v>42003</v>
      </c>
      <c r="X309" s="109"/>
      <c r="Y309" s="109" t="s">
        <v>234</v>
      </c>
      <c r="Z309" s="155"/>
      <c r="AA309" s="155"/>
      <c r="AB309" s="155"/>
      <c r="AC309" s="109"/>
      <c r="AD309" s="154"/>
      <c r="AE309" s="51">
        <f t="shared" si="74"/>
        <v>0</v>
      </c>
      <c r="AF309" s="52">
        <f t="shared" si="75"/>
        <v>330.80999999999767</v>
      </c>
      <c r="AG309" s="52">
        <v>175566.69</v>
      </c>
      <c r="AH309" s="52">
        <f>87783.35+87783.34</f>
        <v>175566.69</v>
      </c>
      <c r="AI309" s="52">
        <f t="shared" si="76"/>
        <v>0</v>
      </c>
      <c r="AJ309" s="163">
        <v>0</v>
      </c>
      <c r="AK309" s="52">
        <v>0</v>
      </c>
      <c r="AL309" s="52">
        <f t="shared" si="69"/>
        <v>0</v>
      </c>
      <c r="AM309" s="52">
        <f t="shared" si="71"/>
        <v>175566.69</v>
      </c>
      <c r="AN309" s="51">
        <f t="shared" si="72"/>
        <v>175566.69</v>
      </c>
      <c r="AO309" s="51">
        <f t="shared" si="70"/>
        <v>0</v>
      </c>
      <c r="AP309" s="125" t="s">
        <v>1296</v>
      </c>
      <c r="AQ309" s="52">
        <v>75675.3</v>
      </c>
      <c r="AR309" s="52">
        <v>75675.3</v>
      </c>
      <c r="AS309" s="51">
        <f t="shared" si="67"/>
        <v>0</v>
      </c>
      <c r="AT309" s="126">
        <f t="shared" si="77"/>
        <v>330.80999999999767</v>
      </c>
      <c r="AU309" s="109"/>
      <c r="AV309" s="67"/>
      <c r="AW309" s="4"/>
      <c r="AX309" s="4"/>
      <c r="AY309" s="4"/>
      <c r="AZ309" s="4"/>
      <c r="BA309" s="4"/>
      <c r="BB309" s="4"/>
    </row>
    <row r="310" spans="1:54" ht="20.25" hidden="1" customHeight="1" x14ac:dyDescent="0.2">
      <c r="A310" s="32">
        <v>636</v>
      </c>
      <c r="B310" s="94" t="s">
        <v>1324</v>
      </c>
      <c r="C310" s="116" t="s">
        <v>1325</v>
      </c>
      <c r="D310" s="107">
        <v>1336</v>
      </c>
      <c r="E310" s="258"/>
      <c r="F310" s="36"/>
      <c r="G310" s="36">
        <v>1</v>
      </c>
      <c r="H310" s="67" t="s">
        <v>27</v>
      </c>
      <c r="I310" s="158">
        <v>6226</v>
      </c>
      <c r="J310" s="107">
        <v>2</v>
      </c>
      <c r="K310" s="39">
        <v>1</v>
      </c>
      <c r="L310" s="157" t="s">
        <v>137</v>
      </c>
      <c r="M310" s="164" t="s">
        <v>108</v>
      </c>
      <c r="N310" s="42" t="s">
        <v>76</v>
      </c>
      <c r="O310" s="117" t="s">
        <v>88</v>
      </c>
      <c r="P310" s="67" t="s">
        <v>786</v>
      </c>
      <c r="Q310" s="67" t="s">
        <v>1142</v>
      </c>
      <c r="R310" s="254"/>
      <c r="S310" s="45">
        <f>T310+U309</f>
        <v>175897.5</v>
      </c>
      <c r="T310" s="45">
        <v>175897.5</v>
      </c>
      <c r="U310" s="45">
        <v>0</v>
      </c>
      <c r="V310" s="109" t="s">
        <v>1327</v>
      </c>
      <c r="W310" s="154">
        <v>42003</v>
      </c>
      <c r="X310" s="109"/>
      <c r="Y310" s="109" t="s">
        <v>234</v>
      </c>
      <c r="Z310" s="155"/>
      <c r="AA310" s="155"/>
      <c r="AB310" s="155"/>
      <c r="AC310" s="109"/>
      <c r="AD310" s="154"/>
      <c r="AE310" s="51">
        <f t="shared" si="74"/>
        <v>0</v>
      </c>
      <c r="AF310" s="52">
        <f t="shared" si="75"/>
        <v>330.82000000000698</v>
      </c>
      <c r="AG310" s="52">
        <v>175566.68</v>
      </c>
      <c r="AH310" s="52">
        <f>87783.34+87783.34</f>
        <v>175566.68</v>
      </c>
      <c r="AI310" s="52">
        <f t="shared" si="76"/>
        <v>0</v>
      </c>
      <c r="AJ310" s="156">
        <v>0</v>
      </c>
      <c r="AK310" s="155">
        <v>0</v>
      </c>
      <c r="AL310" s="52">
        <f t="shared" si="69"/>
        <v>0</v>
      </c>
      <c r="AM310" s="52">
        <f t="shared" si="71"/>
        <v>175566.68</v>
      </c>
      <c r="AN310" s="51">
        <f t="shared" si="72"/>
        <v>175566.68</v>
      </c>
      <c r="AO310" s="51">
        <f t="shared" si="70"/>
        <v>0</v>
      </c>
      <c r="AP310" s="125" t="s">
        <v>1296</v>
      </c>
      <c r="AQ310" s="52">
        <v>75675.289999999994</v>
      </c>
      <c r="AR310" s="52">
        <v>75675.289999999994</v>
      </c>
      <c r="AS310" s="51">
        <f t="shared" si="67"/>
        <v>0</v>
      </c>
      <c r="AT310" s="126">
        <f t="shared" si="77"/>
        <v>330.82000000000698</v>
      </c>
      <c r="AU310" s="109"/>
      <c r="AV310" s="67"/>
      <c r="AW310" s="4"/>
      <c r="AX310" s="4"/>
      <c r="AY310" s="4"/>
      <c r="AZ310" s="4"/>
      <c r="BA310" s="4"/>
      <c r="BB310" s="4"/>
    </row>
    <row r="311" spans="1:54" ht="26.25" hidden="1" customHeight="1" x14ac:dyDescent="0.2">
      <c r="A311" s="32">
        <v>636</v>
      </c>
      <c r="B311" s="94" t="s">
        <v>1328</v>
      </c>
      <c r="C311" s="116" t="s">
        <v>1329</v>
      </c>
      <c r="D311" s="107">
        <v>574</v>
      </c>
      <c r="E311" s="256" t="s">
        <v>1321</v>
      </c>
      <c r="F311" s="159">
        <v>2487</v>
      </c>
      <c r="G311" s="159"/>
      <c r="H311" s="67" t="s">
        <v>1166</v>
      </c>
      <c r="I311" s="158">
        <v>6226</v>
      </c>
      <c r="J311" s="107">
        <v>2</v>
      </c>
      <c r="K311" s="39">
        <v>6</v>
      </c>
      <c r="L311" s="152" t="s">
        <v>1122</v>
      </c>
      <c r="M311" s="153" t="s">
        <v>108</v>
      </c>
      <c r="N311" s="42" t="s">
        <v>76</v>
      </c>
      <c r="O311" s="117" t="s">
        <v>88</v>
      </c>
      <c r="P311" s="67" t="s">
        <v>1330</v>
      </c>
      <c r="Q311" s="67" t="s">
        <v>1331</v>
      </c>
      <c r="R311" s="254"/>
      <c r="S311" s="45">
        <f t="shared" ref="S311:S361" si="79">T311+U311</f>
        <v>58522.23</v>
      </c>
      <c r="T311" s="45">
        <f>58632.5-110.27</f>
        <v>58522.23</v>
      </c>
      <c r="U311" s="45">
        <v>0</v>
      </c>
      <c r="V311" s="109" t="s">
        <v>1240</v>
      </c>
      <c r="W311" s="154">
        <v>41941</v>
      </c>
      <c r="X311" s="109"/>
      <c r="Y311" s="109" t="s">
        <v>234</v>
      </c>
      <c r="Z311" s="155"/>
      <c r="AA311" s="155"/>
      <c r="AB311" s="155">
        <f>Z311-AA311</f>
        <v>0</v>
      </c>
      <c r="AC311" s="109"/>
      <c r="AD311" s="154"/>
      <c r="AE311" s="51">
        <f t="shared" si="74"/>
        <v>0</v>
      </c>
      <c r="AF311" s="52">
        <f t="shared" si="75"/>
        <v>0</v>
      </c>
      <c r="AG311" s="52">
        <v>58522.23</v>
      </c>
      <c r="AH311" s="52">
        <f>29261.12+29261.11</f>
        <v>58522.229999999996</v>
      </c>
      <c r="AI311" s="52">
        <f t="shared" si="76"/>
        <v>7.2759576141834259E-12</v>
      </c>
      <c r="AJ311" s="156">
        <v>0</v>
      </c>
      <c r="AK311" s="155">
        <v>0</v>
      </c>
      <c r="AL311" s="52">
        <f t="shared" si="69"/>
        <v>0</v>
      </c>
      <c r="AM311" s="52">
        <f t="shared" si="71"/>
        <v>58522.23</v>
      </c>
      <c r="AN311" s="51">
        <f t="shared" si="72"/>
        <v>58522.229999999996</v>
      </c>
      <c r="AO311" s="51">
        <f t="shared" si="70"/>
        <v>0</v>
      </c>
      <c r="AP311" s="125" t="s">
        <v>1296</v>
      </c>
      <c r="AQ311" s="52">
        <v>25225.1</v>
      </c>
      <c r="AR311" s="52">
        <v>25225.1</v>
      </c>
      <c r="AS311" s="51">
        <f t="shared" si="67"/>
        <v>0</v>
      </c>
      <c r="AT311" s="126">
        <f t="shared" si="77"/>
        <v>7.2759576141834259E-12</v>
      </c>
      <c r="AU311" s="109"/>
      <c r="AV311" s="67"/>
      <c r="AW311" s="4"/>
      <c r="AX311" s="4"/>
      <c r="AY311" s="4"/>
      <c r="AZ311" s="4"/>
      <c r="BA311" s="4"/>
      <c r="BB311" s="4"/>
    </row>
    <row r="312" spans="1:54" ht="26.25" hidden="1" customHeight="1" x14ac:dyDescent="0.2">
      <c r="A312" s="32">
        <v>636</v>
      </c>
      <c r="B312" s="94" t="s">
        <v>1328</v>
      </c>
      <c r="C312" s="116" t="s">
        <v>1329</v>
      </c>
      <c r="D312" s="107">
        <v>575</v>
      </c>
      <c r="E312" s="258"/>
      <c r="F312" s="160"/>
      <c r="G312" s="160"/>
      <c r="H312" s="67" t="s">
        <v>60</v>
      </c>
      <c r="I312" s="158">
        <v>6226</v>
      </c>
      <c r="J312" s="107">
        <v>2</v>
      </c>
      <c r="K312" s="39">
        <v>2</v>
      </c>
      <c r="L312" s="157" t="s">
        <v>61</v>
      </c>
      <c r="M312" s="153" t="s">
        <v>108</v>
      </c>
      <c r="N312" s="42" t="s">
        <v>76</v>
      </c>
      <c r="O312" s="117" t="s">
        <v>88</v>
      </c>
      <c r="P312" s="67" t="s">
        <v>1330</v>
      </c>
      <c r="Q312" s="67" t="s">
        <v>1331</v>
      </c>
      <c r="R312" s="255"/>
      <c r="S312" s="45">
        <f t="shared" si="79"/>
        <v>58632.5</v>
      </c>
      <c r="T312" s="45">
        <v>58632.5</v>
      </c>
      <c r="U312" s="45">
        <v>0</v>
      </c>
      <c r="V312" s="109" t="s">
        <v>1240</v>
      </c>
      <c r="W312" s="154">
        <v>41941</v>
      </c>
      <c r="X312" s="109"/>
      <c r="Y312" s="109" t="s">
        <v>234</v>
      </c>
      <c r="Z312" s="155"/>
      <c r="AA312" s="155"/>
      <c r="AB312" s="155">
        <f>Z312-AA312</f>
        <v>0</v>
      </c>
      <c r="AC312" s="109"/>
      <c r="AD312" s="154"/>
      <c r="AE312" s="51">
        <f t="shared" si="74"/>
        <v>0</v>
      </c>
      <c r="AF312" s="52">
        <f t="shared" si="75"/>
        <v>110.2699999999968</v>
      </c>
      <c r="AG312" s="52">
        <v>58522.23</v>
      </c>
      <c r="AH312" s="52">
        <f>29261.11+29261.12</f>
        <v>58522.229999999996</v>
      </c>
      <c r="AI312" s="52">
        <f t="shared" si="76"/>
        <v>7.2759576141834259E-12</v>
      </c>
      <c r="AJ312" s="156">
        <v>0</v>
      </c>
      <c r="AK312" s="155">
        <v>0</v>
      </c>
      <c r="AL312" s="52">
        <f t="shared" si="69"/>
        <v>0</v>
      </c>
      <c r="AM312" s="52">
        <f t="shared" si="71"/>
        <v>58522.23</v>
      </c>
      <c r="AN312" s="51">
        <f t="shared" si="72"/>
        <v>58522.229999999996</v>
      </c>
      <c r="AO312" s="51">
        <f t="shared" si="70"/>
        <v>0</v>
      </c>
      <c r="AP312" s="125" t="s">
        <v>1296</v>
      </c>
      <c r="AQ312" s="52">
        <v>25225.1</v>
      </c>
      <c r="AR312" s="52">
        <v>25225.1</v>
      </c>
      <c r="AS312" s="51">
        <f t="shared" si="67"/>
        <v>0</v>
      </c>
      <c r="AT312" s="126">
        <f t="shared" si="77"/>
        <v>110.27000000000407</v>
      </c>
      <c r="AU312" s="109"/>
      <c r="AV312" s="67"/>
      <c r="AW312" s="4"/>
      <c r="AX312" s="4"/>
      <c r="AY312" s="4"/>
      <c r="AZ312" s="4"/>
      <c r="BA312" s="4"/>
      <c r="BB312" s="4"/>
    </row>
    <row r="313" spans="1:54" ht="26.25" hidden="1" customHeight="1" x14ac:dyDescent="0.2">
      <c r="A313" s="32">
        <v>636</v>
      </c>
      <c r="B313" s="122" t="s">
        <v>1332</v>
      </c>
      <c r="C313" s="116"/>
      <c r="D313" s="107"/>
      <c r="E313" s="36" t="s">
        <v>1333</v>
      </c>
      <c r="F313" s="36"/>
      <c r="G313" s="36"/>
      <c r="H313" s="33" t="s">
        <v>764</v>
      </c>
      <c r="I313" s="158"/>
      <c r="J313" s="107"/>
      <c r="K313" s="39">
        <v>2.2000000000000002</v>
      </c>
      <c r="L313" s="40" t="s">
        <v>765</v>
      </c>
      <c r="M313" s="153" t="s">
        <v>604</v>
      </c>
      <c r="N313" s="117" t="s">
        <v>1334</v>
      </c>
      <c r="O313" s="117" t="s">
        <v>1335</v>
      </c>
      <c r="P313" s="67" t="s">
        <v>65</v>
      </c>
      <c r="Q313" s="67" t="s">
        <v>99</v>
      </c>
      <c r="R313" s="36"/>
      <c r="S313" s="45">
        <f t="shared" si="79"/>
        <v>968587.71</v>
      </c>
      <c r="T313" s="45">
        <v>952170.97</v>
      </c>
      <c r="U313" s="45">
        <v>16416.740000000002</v>
      </c>
      <c r="V313" s="109" t="s">
        <v>1336</v>
      </c>
      <c r="W313" s="154">
        <v>41716</v>
      </c>
      <c r="X313" s="109"/>
      <c r="Y313" s="109" t="s">
        <v>1337</v>
      </c>
      <c r="Z313" s="155"/>
      <c r="AA313" s="136">
        <f>5471.7+5471.7+4129.6-4129.6</f>
        <v>10943.4</v>
      </c>
      <c r="AB313" s="155">
        <f>Z313-AA313</f>
        <v>-10943.4</v>
      </c>
      <c r="AC313" s="109" t="s">
        <v>966</v>
      </c>
      <c r="AD313" s="154">
        <v>41677</v>
      </c>
      <c r="AE313" s="51">
        <f t="shared" si="74"/>
        <v>16416.740000000002</v>
      </c>
      <c r="AF313" s="52">
        <f t="shared" si="75"/>
        <v>952170.97</v>
      </c>
      <c r="AG313" s="52"/>
      <c r="AH313" s="136">
        <v>284988.43</v>
      </c>
      <c r="AI313" s="52">
        <f t="shared" si="76"/>
        <v>-284988.43</v>
      </c>
      <c r="AJ313" s="156">
        <v>0</v>
      </c>
      <c r="AK313" s="155">
        <v>0</v>
      </c>
      <c r="AL313" s="52">
        <f t="shared" si="69"/>
        <v>0</v>
      </c>
      <c r="AM313" s="52">
        <f t="shared" si="71"/>
        <v>0</v>
      </c>
      <c r="AN313" s="51">
        <f t="shared" si="72"/>
        <v>295931.83</v>
      </c>
      <c r="AO313" s="51">
        <f t="shared" si="70"/>
        <v>-295931.83</v>
      </c>
      <c r="AP313" s="125"/>
      <c r="AQ313" s="136">
        <v>245679.68</v>
      </c>
      <c r="AR313" s="51"/>
      <c r="AS313" s="51">
        <f t="shared" si="67"/>
        <v>245679.68</v>
      </c>
      <c r="AT313" s="51">
        <f t="shared" si="77"/>
        <v>672655.87999999989</v>
      </c>
      <c r="AU313" s="109"/>
      <c r="AV313" s="67"/>
      <c r="AW313" s="4"/>
      <c r="AX313" s="4"/>
      <c r="AY313" s="4"/>
      <c r="AZ313" s="4"/>
      <c r="BA313" s="4"/>
      <c r="BB313" s="4"/>
    </row>
    <row r="314" spans="1:54" ht="27" hidden="1" customHeight="1" x14ac:dyDescent="0.2">
      <c r="A314" s="151">
        <v>639</v>
      </c>
      <c r="B314" s="122" t="s">
        <v>1338</v>
      </c>
      <c r="C314" s="116"/>
      <c r="D314" s="107">
        <v>353</v>
      </c>
      <c r="E314" s="46" t="s">
        <v>1339</v>
      </c>
      <c r="F314" s="46"/>
      <c r="G314" s="46"/>
      <c r="H314" s="33" t="s">
        <v>209</v>
      </c>
      <c r="I314" s="107">
        <v>6222</v>
      </c>
      <c r="J314" s="107"/>
      <c r="K314" s="39">
        <v>2.2999999999999998</v>
      </c>
      <c r="L314" s="40" t="s">
        <v>210</v>
      </c>
      <c r="M314" s="147" t="s">
        <v>75</v>
      </c>
      <c r="N314" s="42" t="s">
        <v>76</v>
      </c>
      <c r="O314" s="41" t="s">
        <v>77</v>
      </c>
      <c r="P314" s="46" t="s">
        <v>167</v>
      </c>
      <c r="Q314" s="46" t="s">
        <v>1340</v>
      </c>
      <c r="R314" s="33" t="s">
        <v>1341</v>
      </c>
      <c r="S314" s="45">
        <f t="shared" si="79"/>
        <v>474805.32</v>
      </c>
      <c r="T314" s="45">
        <v>474805.32</v>
      </c>
      <c r="U314" s="45">
        <v>0</v>
      </c>
      <c r="V314" s="109" t="s">
        <v>1342</v>
      </c>
      <c r="W314" s="63">
        <v>41942</v>
      </c>
      <c r="X314" s="48"/>
      <c r="Y314" s="109" t="s">
        <v>234</v>
      </c>
      <c r="Z314" s="45"/>
      <c r="AA314" s="45"/>
      <c r="AB314" s="45">
        <f t="shared" ref="AB314:AB363" si="80">Z314-AA314</f>
        <v>0</v>
      </c>
      <c r="AC314" s="48"/>
      <c r="AD314" s="63"/>
      <c r="AE314" s="51">
        <f t="shared" si="74"/>
        <v>0</v>
      </c>
      <c r="AF314" s="52">
        <f t="shared" si="75"/>
        <v>3322.2200000000303</v>
      </c>
      <c r="AG314" s="52">
        <v>471483.1</v>
      </c>
      <c r="AH314" s="52">
        <f>141444.94+271452.56+58585.6</f>
        <v>471483.1</v>
      </c>
      <c r="AI314" s="52">
        <f t="shared" si="76"/>
        <v>0</v>
      </c>
      <c r="AJ314" s="124">
        <v>0</v>
      </c>
      <c r="AK314" s="45">
        <v>0</v>
      </c>
      <c r="AL314" s="52">
        <f t="shared" si="69"/>
        <v>0</v>
      </c>
      <c r="AM314" s="52">
        <f t="shared" si="71"/>
        <v>471483.1</v>
      </c>
      <c r="AN314" s="51">
        <f t="shared" si="72"/>
        <v>471483.1</v>
      </c>
      <c r="AO314" s="51">
        <f t="shared" si="70"/>
        <v>0</v>
      </c>
      <c r="AP314" s="125" t="s">
        <v>205</v>
      </c>
      <c r="AQ314" s="52">
        <v>121935.29</v>
      </c>
      <c r="AR314" s="51">
        <f>100290.36+21644.93</f>
        <v>121935.29000000001</v>
      </c>
      <c r="AS314" s="51">
        <f t="shared" si="67"/>
        <v>-1.4551915228366852E-11</v>
      </c>
      <c r="AT314" s="126">
        <f t="shared" si="77"/>
        <v>3322.2200000000303</v>
      </c>
      <c r="AU314" s="48"/>
      <c r="AV314" s="46"/>
    </row>
    <row r="315" spans="1:54" ht="42" hidden="1" customHeight="1" x14ac:dyDescent="0.2">
      <c r="A315" s="151">
        <v>639</v>
      </c>
      <c r="B315" s="122" t="s">
        <v>1343</v>
      </c>
      <c r="C315" s="116"/>
      <c r="D315" s="107">
        <v>389</v>
      </c>
      <c r="E315" s="46" t="s">
        <v>1344</v>
      </c>
      <c r="F315" s="46"/>
      <c r="G315" s="46"/>
      <c r="H315" s="33" t="s">
        <v>209</v>
      </c>
      <c r="I315" s="107">
        <v>6222</v>
      </c>
      <c r="J315" s="107"/>
      <c r="K315" s="39">
        <v>2.2999999999999998</v>
      </c>
      <c r="L315" s="40" t="s">
        <v>210</v>
      </c>
      <c r="M315" s="147" t="s">
        <v>75</v>
      </c>
      <c r="N315" s="42" t="s">
        <v>76</v>
      </c>
      <c r="O315" s="41" t="s">
        <v>77</v>
      </c>
      <c r="P315" s="46" t="s">
        <v>178</v>
      </c>
      <c r="Q315" s="46" t="s">
        <v>1345</v>
      </c>
      <c r="R315" s="33" t="s">
        <v>1346</v>
      </c>
      <c r="S315" s="45">
        <f t="shared" si="79"/>
        <v>663800</v>
      </c>
      <c r="T315" s="45">
        <v>663800</v>
      </c>
      <c r="U315" s="45">
        <v>0</v>
      </c>
      <c r="V315" s="109" t="s">
        <v>1342</v>
      </c>
      <c r="W315" s="63">
        <v>41942</v>
      </c>
      <c r="X315" s="48"/>
      <c r="Y315" s="109" t="s">
        <v>234</v>
      </c>
      <c r="Z315" s="45"/>
      <c r="AA315" s="45"/>
      <c r="AB315" s="45">
        <f t="shared" si="80"/>
        <v>0</v>
      </c>
      <c r="AC315" s="48"/>
      <c r="AD315" s="63"/>
      <c r="AE315" s="51">
        <f t="shared" si="74"/>
        <v>0</v>
      </c>
      <c r="AF315" s="52">
        <f t="shared" si="75"/>
        <v>2600</v>
      </c>
      <c r="AG315" s="52">
        <v>661200</v>
      </c>
      <c r="AH315" s="52">
        <f>198360+444500.16+18339.84</f>
        <v>661199.99999999988</v>
      </c>
      <c r="AI315" s="52">
        <f t="shared" si="76"/>
        <v>1.1641532182693481E-10</v>
      </c>
      <c r="AJ315" s="124">
        <v>0</v>
      </c>
      <c r="AK315" s="45">
        <v>0</v>
      </c>
      <c r="AL315" s="52">
        <f t="shared" si="69"/>
        <v>0</v>
      </c>
      <c r="AM315" s="52">
        <f t="shared" si="71"/>
        <v>661200</v>
      </c>
      <c r="AN315" s="51">
        <f t="shared" si="72"/>
        <v>661199.99999999988</v>
      </c>
      <c r="AO315" s="51">
        <f t="shared" si="70"/>
        <v>0</v>
      </c>
      <c r="AP315" s="125" t="s">
        <v>205</v>
      </c>
      <c r="AQ315" s="52">
        <v>171000</v>
      </c>
      <c r="AR315" s="51">
        <f>164224.2+6775.8</f>
        <v>171000</v>
      </c>
      <c r="AS315" s="51">
        <f t="shared" si="67"/>
        <v>0</v>
      </c>
      <c r="AT315" s="126">
        <f t="shared" si="77"/>
        <v>2600.0000000001164</v>
      </c>
      <c r="AU315" s="48"/>
      <c r="AV315" s="46"/>
    </row>
    <row r="316" spans="1:54" ht="30" hidden="1" customHeight="1" x14ac:dyDescent="0.2">
      <c r="A316" s="151">
        <v>639</v>
      </c>
      <c r="B316" s="122" t="s">
        <v>1347</v>
      </c>
      <c r="C316" s="116"/>
      <c r="D316" s="107">
        <v>524</v>
      </c>
      <c r="E316" s="46" t="s">
        <v>1348</v>
      </c>
      <c r="F316" s="46"/>
      <c r="G316" s="46"/>
      <c r="H316" s="33" t="s">
        <v>209</v>
      </c>
      <c r="I316" s="107">
        <v>6222</v>
      </c>
      <c r="J316" s="107"/>
      <c r="K316" s="39">
        <v>2.2999999999999998</v>
      </c>
      <c r="L316" s="40" t="s">
        <v>210</v>
      </c>
      <c r="M316" s="147" t="s">
        <v>75</v>
      </c>
      <c r="N316" s="42" t="s">
        <v>76</v>
      </c>
      <c r="O316" s="41" t="s">
        <v>77</v>
      </c>
      <c r="P316" s="46" t="s">
        <v>78</v>
      </c>
      <c r="Q316" s="165" t="s">
        <v>1349</v>
      </c>
      <c r="R316" s="33" t="s">
        <v>1350</v>
      </c>
      <c r="S316" s="45">
        <f t="shared" si="79"/>
        <v>468436.76</v>
      </c>
      <c r="T316" s="45">
        <v>468436.76</v>
      </c>
      <c r="U316" s="45">
        <v>0</v>
      </c>
      <c r="V316" s="109" t="s">
        <v>1342</v>
      </c>
      <c r="W316" s="63">
        <v>41942</v>
      </c>
      <c r="X316" s="48"/>
      <c r="Y316" s="109" t="s">
        <v>234</v>
      </c>
      <c r="Z316" s="45"/>
      <c r="AA316" s="45"/>
      <c r="AB316" s="45">
        <f t="shared" si="80"/>
        <v>0</v>
      </c>
      <c r="AC316" s="48"/>
      <c r="AD316" s="63"/>
      <c r="AE316" s="51">
        <f t="shared" si="74"/>
        <v>0</v>
      </c>
      <c r="AF316" s="52">
        <f t="shared" si="75"/>
        <v>3476.4000000000233</v>
      </c>
      <c r="AG316" s="52">
        <v>464960.36</v>
      </c>
      <c r="AH316" s="52">
        <f>139488.11+94990.49+95633.91+134847.85</f>
        <v>464960.36</v>
      </c>
      <c r="AI316" s="52">
        <f t="shared" si="76"/>
        <v>0</v>
      </c>
      <c r="AJ316" s="124">
        <v>0</v>
      </c>
      <c r="AK316" s="45">
        <v>0</v>
      </c>
      <c r="AL316" s="52">
        <f t="shared" si="69"/>
        <v>0</v>
      </c>
      <c r="AM316" s="52">
        <f t="shared" si="71"/>
        <v>464960.36</v>
      </c>
      <c r="AN316" s="51">
        <f t="shared" si="72"/>
        <v>464960.36</v>
      </c>
      <c r="AO316" s="51">
        <f t="shared" si="70"/>
        <v>0</v>
      </c>
      <c r="AP316" s="125" t="s">
        <v>205</v>
      </c>
      <c r="AQ316" s="52">
        <v>120248.37</v>
      </c>
      <c r="AR316" s="51">
        <f>35095.01+35332.73+49820.63</f>
        <v>120248.37</v>
      </c>
      <c r="AS316" s="51">
        <f t="shared" si="67"/>
        <v>0</v>
      </c>
      <c r="AT316" s="126">
        <f t="shared" si="77"/>
        <v>3476.4000000000233</v>
      </c>
      <c r="AU316" s="48"/>
      <c r="AV316" s="46"/>
    </row>
    <row r="317" spans="1:54" ht="35.25" hidden="1" customHeight="1" x14ac:dyDescent="0.2">
      <c r="A317" s="64">
        <v>6411</v>
      </c>
      <c r="B317" s="94" t="s">
        <v>1351</v>
      </c>
      <c r="C317" s="116" t="s">
        <v>1352</v>
      </c>
      <c r="D317" s="107">
        <v>546</v>
      </c>
      <c r="E317" s="253" t="s">
        <v>1353</v>
      </c>
      <c r="F317" s="82"/>
      <c r="G317" s="82"/>
      <c r="H317" s="33" t="s">
        <v>1275</v>
      </c>
      <c r="I317" s="107">
        <v>6229</v>
      </c>
      <c r="J317" s="107">
        <v>1</v>
      </c>
      <c r="K317" s="39">
        <v>5</v>
      </c>
      <c r="L317" s="118" t="s">
        <v>1276</v>
      </c>
      <c r="M317" s="147" t="s">
        <v>138</v>
      </c>
      <c r="N317" s="42" t="s">
        <v>76</v>
      </c>
      <c r="O317" s="148" t="s">
        <v>1354</v>
      </c>
      <c r="P317" s="46" t="s">
        <v>331</v>
      </c>
      <c r="Q317" s="46" t="s">
        <v>253</v>
      </c>
      <c r="R317" s="256" t="s">
        <v>1355</v>
      </c>
      <c r="S317" s="45">
        <f t="shared" si="79"/>
        <v>190729.97</v>
      </c>
      <c r="T317" s="45">
        <f>191684-954.03</f>
        <v>190729.97</v>
      </c>
      <c r="U317" s="45">
        <v>0</v>
      </c>
      <c r="V317" s="109" t="s">
        <v>1278</v>
      </c>
      <c r="W317" s="63">
        <v>41942</v>
      </c>
      <c r="X317" s="48"/>
      <c r="Y317" s="109" t="s">
        <v>234</v>
      </c>
      <c r="Z317" s="45"/>
      <c r="AA317" s="45"/>
      <c r="AB317" s="45">
        <f t="shared" si="80"/>
        <v>0</v>
      </c>
      <c r="AC317" s="48"/>
      <c r="AD317" s="63"/>
      <c r="AE317" s="51">
        <f t="shared" si="74"/>
        <v>0</v>
      </c>
      <c r="AF317" s="52">
        <f t="shared" si="75"/>
        <v>0</v>
      </c>
      <c r="AG317" s="52">
        <v>190729.97</v>
      </c>
      <c r="AH317" s="52">
        <v>190729.97</v>
      </c>
      <c r="AI317" s="52">
        <f t="shared" si="76"/>
        <v>0</v>
      </c>
      <c r="AJ317" s="124">
        <v>0</v>
      </c>
      <c r="AK317" s="45">
        <v>0</v>
      </c>
      <c r="AL317" s="52">
        <f t="shared" si="69"/>
        <v>0</v>
      </c>
      <c r="AM317" s="52">
        <f t="shared" si="71"/>
        <v>190729.97</v>
      </c>
      <c r="AN317" s="51">
        <f t="shared" si="72"/>
        <v>190729.97</v>
      </c>
      <c r="AO317" s="51">
        <f t="shared" si="70"/>
        <v>0</v>
      </c>
      <c r="AP317" s="125" t="s">
        <v>83</v>
      </c>
      <c r="AQ317" s="52"/>
      <c r="AR317" s="51"/>
      <c r="AS317" s="51">
        <f t="shared" si="67"/>
        <v>0</v>
      </c>
      <c r="AT317" s="126">
        <f t="shared" si="77"/>
        <v>0</v>
      </c>
      <c r="AU317" s="48"/>
      <c r="AV317" s="46"/>
    </row>
    <row r="318" spans="1:54" ht="31.5" hidden="1" customHeight="1" x14ac:dyDescent="0.2">
      <c r="A318" s="64">
        <v>6411</v>
      </c>
      <c r="B318" s="94" t="s">
        <v>1351</v>
      </c>
      <c r="C318" s="116" t="s">
        <v>1352</v>
      </c>
      <c r="D318" s="107">
        <v>547</v>
      </c>
      <c r="E318" s="255"/>
      <c r="F318" s="36" t="s">
        <v>59</v>
      </c>
      <c r="G318" s="36"/>
      <c r="H318" s="33" t="s">
        <v>27</v>
      </c>
      <c r="I318" s="107">
        <v>6229</v>
      </c>
      <c r="J318" s="107">
        <v>1</v>
      </c>
      <c r="K318" s="39">
        <v>1</v>
      </c>
      <c r="L318" s="118" t="s">
        <v>137</v>
      </c>
      <c r="M318" s="147" t="s">
        <v>138</v>
      </c>
      <c r="N318" s="42" t="s">
        <v>76</v>
      </c>
      <c r="O318" s="148" t="s">
        <v>1354</v>
      </c>
      <c r="P318" s="46" t="s">
        <v>331</v>
      </c>
      <c r="Q318" s="46" t="s">
        <v>253</v>
      </c>
      <c r="R318" s="258"/>
      <c r="S318" s="45">
        <f t="shared" si="79"/>
        <v>127153.32</v>
      </c>
      <c r="T318" s="45">
        <f>127789-635.68</f>
        <v>127153.32</v>
      </c>
      <c r="U318" s="45">
        <v>0</v>
      </c>
      <c r="V318" s="67" t="s">
        <v>1356</v>
      </c>
      <c r="W318" s="47" t="s">
        <v>1357</v>
      </c>
      <c r="X318" s="48"/>
      <c r="Y318" s="109" t="s">
        <v>234</v>
      </c>
      <c r="Z318" s="45"/>
      <c r="AA318" s="45"/>
      <c r="AB318" s="45">
        <f t="shared" si="80"/>
        <v>0</v>
      </c>
      <c r="AC318" s="48"/>
      <c r="AD318" s="63"/>
      <c r="AE318" s="51">
        <f t="shared" si="74"/>
        <v>0</v>
      </c>
      <c r="AF318" s="52">
        <f t="shared" si="75"/>
        <v>0</v>
      </c>
      <c r="AG318" s="52">
        <v>127153.32</v>
      </c>
      <c r="AH318" s="52">
        <v>127153.32</v>
      </c>
      <c r="AI318" s="52">
        <f t="shared" si="76"/>
        <v>0</v>
      </c>
      <c r="AJ318" s="124">
        <v>0</v>
      </c>
      <c r="AK318" s="45">
        <v>0</v>
      </c>
      <c r="AL318" s="52">
        <f t="shared" si="69"/>
        <v>0</v>
      </c>
      <c r="AM318" s="52">
        <f t="shared" si="71"/>
        <v>127153.32</v>
      </c>
      <c r="AN318" s="51">
        <f t="shared" si="72"/>
        <v>127153.32</v>
      </c>
      <c r="AO318" s="51">
        <f t="shared" si="70"/>
        <v>0</v>
      </c>
      <c r="AP318" s="125" t="s">
        <v>83</v>
      </c>
      <c r="AQ318" s="52"/>
      <c r="AR318" s="51"/>
      <c r="AS318" s="51">
        <f t="shared" si="67"/>
        <v>0</v>
      </c>
      <c r="AT318" s="126">
        <f t="shared" si="77"/>
        <v>0</v>
      </c>
      <c r="AU318" s="48"/>
      <c r="AV318" s="46"/>
    </row>
    <row r="319" spans="1:54" ht="30.75" hidden="1" customHeight="1" x14ac:dyDescent="0.2">
      <c r="A319" s="151">
        <v>639</v>
      </c>
      <c r="B319" s="122" t="s">
        <v>1358</v>
      </c>
      <c r="C319" s="116"/>
      <c r="D319" s="107">
        <v>543</v>
      </c>
      <c r="E319" s="46" t="s">
        <v>1359</v>
      </c>
      <c r="F319" s="46"/>
      <c r="G319" s="46"/>
      <c r="H319" s="33" t="s">
        <v>209</v>
      </c>
      <c r="I319" s="107">
        <v>6222</v>
      </c>
      <c r="J319" s="107"/>
      <c r="K319" s="39">
        <v>2.2999999999999998</v>
      </c>
      <c r="L319" s="40" t="s">
        <v>210</v>
      </c>
      <c r="M319" s="147" t="s">
        <v>75</v>
      </c>
      <c r="N319" s="42" t="s">
        <v>76</v>
      </c>
      <c r="O319" s="41" t="s">
        <v>77</v>
      </c>
      <c r="P319" s="46" t="s">
        <v>758</v>
      </c>
      <c r="Q319" s="46" t="s">
        <v>1360</v>
      </c>
      <c r="R319" s="33" t="s">
        <v>1361</v>
      </c>
      <c r="S319" s="45">
        <f t="shared" si="79"/>
        <v>561440</v>
      </c>
      <c r="T319" s="45">
        <v>561440</v>
      </c>
      <c r="U319" s="45">
        <v>0</v>
      </c>
      <c r="V319" s="109" t="s">
        <v>1362</v>
      </c>
      <c r="W319" s="63">
        <v>41942</v>
      </c>
      <c r="X319" s="48"/>
      <c r="Y319" s="109" t="s">
        <v>234</v>
      </c>
      <c r="Z319" s="45"/>
      <c r="AA319" s="45"/>
      <c r="AB319" s="45">
        <f t="shared" si="80"/>
        <v>0</v>
      </c>
      <c r="AC319" s="48"/>
      <c r="AD319" s="63"/>
      <c r="AE319" s="51">
        <f t="shared" si="74"/>
        <v>0</v>
      </c>
      <c r="AF319" s="52">
        <f t="shared" si="75"/>
        <v>2710.0600000000559</v>
      </c>
      <c r="AG319" s="52">
        <v>558729.93999999994</v>
      </c>
      <c r="AH319" s="52">
        <f>167618.98+237701.88+153409.08</f>
        <v>558729.93999999994</v>
      </c>
      <c r="AI319" s="52">
        <f t="shared" si="76"/>
        <v>0</v>
      </c>
      <c r="AJ319" s="124">
        <v>0</v>
      </c>
      <c r="AK319" s="45">
        <v>0</v>
      </c>
      <c r="AL319" s="52">
        <f t="shared" si="69"/>
        <v>0</v>
      </c>
      <c r="AM319" s="52">
        <f t="shared" si="71"/>
        <v>558729.93999999994</v>
      </c>
      <c r="AN319" s="51">
        <f t="shared" si="72"/>
        <v>558729.93999999994</v>
      </c>
      <c r="AO319" s="51">
        <f t="shared" si="70"/>
        <v>0</v>
      </c>
      <c r="AP319" s="125" t="s">
        <v>205</v>
      </c>
      <c r="AQ319" s="52">
        <v>144499.12</v>
      </c>
      <c r="AR319" s="51">
        <f>87820.89+56678.23</f>
        <v>144499.12</v>
      </c>
      <c r="AS319" s="51">
        <f t="shared" si="67"/>
        <v>0</v>
      </c>
      <c r="AT319" s="126">
        <f t="shared" si="77"/>
        <v>2710.0600000000559</v>
      </c>
      <c r="AU319" s="48"/>
      <c r="AV319" s="46"/>
    </row>
    <row r="320" spans="1:54" ht="26.25" hidden="1" customHeight="1" x14ac:dyDescent="0.2">
      <c r="A320" s="151">
        <v>639</v>
      </c>
      <c r="B320" s="122" t="s">
        <v>1363</v>
      </c>
      <c r="C320" s="116"/>
      <c r="D320" s="107">
        <v>527</v>
      </c>
      <c r="E320" s="46" t="s">
        <v>1364</v>
      </c>
      <c r="F320" s="37" t="s">
        <v>59</v>
      </c>
      <c r="G320" s="46"/>
      <c r="H320" s="33" t="s">
        <v>209</v>
      </c>
      <c r="I320" s="107">
        <v>6222</v>
      </c>
      <c r="J320" s="107"/>
      <c r="K320" s="39">
        <v>2.2999999999999998</v>
      </c>
      <c r="L320" s="40" t="s">
        <v>210</v>
      </c>
      <c r="M320" s="147" t="s">
        <v>75</v>
      </c>
      <c r="N320" s="42" t="s">
        <v>63</v>
      </c>
      <c r="O320" s="41" t="s">
        <v>77</v>
      </c>
      <c r="P320" s="46" t="s">
        <v>109</v>
      </c>
      <c r="Q320" s="46" t="s">
        <v>1365</v>
      </c>
      <c r="R320" s="33" t="s">
        <v>1366</v>
      </c>
      <c r="S320" s="45">
        <f t="shared" si="79"/>
        <v>440563.8</v>
      </c>
      <c r="T320" s="45">
        <f>450000-9436.2</f>
        <v>440563.8</v>
      </c>
      <c r="U320" s="45">
        <v>0</v>
      </c>
      <c r="V320" s="67" t="s">
        <v>1367</v>
      </c>
      <c r="W320" s="47" t="s">
        <v>1368</v>
      </c>
      <c r="X320" s="48"/>
      <c r="Y320" s="109" t="s">
        <v>234</v>
      </c>
      <c r="Z320" s="45"/>
      <c r="AA320" s="45"/>
      <c r="AB320" s="45">
        <f t="shared" si="80"/>
        <v>0</v>
      </c>
      <c r="AC320" s="48"/>
      <c r="AD320" s="63"/>
      <c r="AE320" s="51">
        <f t="shared" si="74"/>
        <v>0</v>
      </c>
      <c r="AF320" s="52">
        <f t="shared" si="75"/>
        <v>0</v>
      </c>
      <c r="AG320" s="52">
        <v>440563.8</v>
      </c>
      <c r="AH320" s="52">
        <f>132169.14+275135.35+33259.31</f>
        <v>440563.8</v>
      </c>
      <c r="AI320" s="52">
        <f t="shared" si="76"/>
        <v>0</v>
      </c>
      <c r="AJ320" s="124">
        <v>0</v>
      </c>
      <c r="AK320" s="45">
        <v>0</v>
      </c>
      <c r="AL320" s="52">
        <f t="shared" si="69"/>
        <v>0</v>
      </c>
      <c r="AM320" s="52">
        <f t="shared" si="71"/>
        <v>440563.8</v>
      </c>
      <c r="AN320" s="51">
        <f t="shared" si="72"/>
        <v>440563.8</v>
      </c>
      <c r="AO320" s="51">
        <f t="shared" si="70"/>
        <v>0</v>
      </c>
      <c r="AP320" s="125"/>
      <c r="AQ320" s="52">
        <v>113938.91</v>
      </c>
      <c r="AR320" s="51">
        <f>101651+12287.91</f>
        <v>113938.91</v>
      </c>
      <c r="AS320" s="51">
        <f t="shared" si="67"/>
        <v>0</v>
      </c>
      <c r="AT320" s="126">
        <f t="shared" si="77"/>
        <v>0</v>
      </c>
      <c r="AU320" s="48"/>
      <c r="AV320" s="46"/>
    </row>
    <row r="321" spans="1:48" ht="26.25" hidden="1" customHeight="1" x14ac:dyDescent="0.2">
      <c r="A321" s="32">
        <v>636</v>
      </c>
      <c r="B321" s="122" t="s">
        <v>1369</v>
      </c>
      <c r="C321" s="116"/>
      <c r="D321" s="107">
        <v>614</v>
      </c>
      <c r="E321" s="46" t="s">
        <v>1370</v>
      </c>
      <c r="F321" s="46"/>
      <c r="G321" s="46"/>
      <c r="H321" s="33" t="s">
        <v>60</v>
      </c>
      <c r="I321" s="107">
        <v>6122</v>
      </c>
      <c r="J321" s="107"/>
      <c r="K321" s="39">
        <v>2</v>
      </c>
      <c r="L321" s="40" t="s">
        <v>61</v>
      </c>
      <c r="M321" s="147" t="s">
        <v>278</v>
      </c>
      <c r="N321" s="42" t="s">
        <v>76</v>
      </c>
      <c r="O321" s="148" t="s">
        <v>279</v>
      </c>
      <c r="P321" s="46" t="s">
        <v>443</v>
      </c>
      <c r="Q321" s="46" t="s">
        <v>1371</v>
      </c>
      <c r="R321" s="33" t="s">
        <v>1372</v>
      </c>
      <c r="S321" s="45">
        <f t="shared" si="79"/>
        <v>1006354.35</v>
      </c>
      <c r="T321" s="45">
        <v>989297.5</v>
      </c>
      <c r="U321" s="45">
        <v>17056.849999999999</v>
      </c>
      <c r="V321" s="109" t="s">
        <v>1373</v>
      </c>
      <c r="W321" s="63">
        <v>41947</v>
      </c>
      <c r="X321" s="48"/>
      <c r="Y321" s="109" t="s">
        <v>1337</v>
      </c>
      <c r="Z321" s="45">
        <v>16992.91</v>
      </c>
      <c r="AA321" s="45">
        <f>12891.32+3194.34</f>
        <v>16085.66</v>
      </c>
      <c r="AB321" s="45">
        <f t="shared" si="80"/>
        <v>907.25</v>
      </c>
      <c r="AC321" s="48" t="s">
        <v>93</v>
      </c>
      <c r="AD321" s="63">
        <v>42083</v>
      </c>
      <c r="AE321" s="51">
        <f t="shared" si="74"/>
        <v>63.93999999999869</v>
      </c>
      <c r="AF321" s="52">
        <f t="shared" si="75"/>
        <v>3708.6700000000419</v>
      </c>
      <c r="AG321" s="52">
        <v>985588.83</v>
      </c>
      <c r="AH321" s="52">
        <v>985588.83</v>
      </c>
      <c r="AI321" s="52">
        <f t="shared" si="76"/>
        <v>0</v>
      </c>
      <c r="AJ321" s="124">
        <v>0</v>
      </c>
      <c r="AK321" s="45">
        <v>0</v>
      </c>
      <c r="AL321" s="52">
        <f t="shared" si="69"/>
        <v>0</v>
      </c>
      <c r="AM321" s="52">
        <f t="shared" si="71"/>
        <v>1002581.74</v>
      </c>
      <c r="AN321" s="51">
        <f t="shared" si="72"/>
        <v>1001674.49</v>
      </c>
      <c r="AO321" s="51">
        <f t="shared" si="70"/>
        <v>907.25</v>
      </c>
      <c r="AP321" s="125"/>
      <c r="AQ321" s="52"/>
      <c r="AR321" s="51"/>
      <c r="AS321" s="51">
        <f t="shared" si="67"/>
        <v>0</v>
      </c>
      <c r="AT321" s="126">
        <f t="shared" si="77"/>
        <v>4679.859999999986</v>
      </c>
      <c r="AU321" s="48"/>
      <c r="AV321" s="46"/>
    </row>
    <row r="322" spans="1:48" ht="37.5" hidden="1" customHeight="1" x14ac:dyDescent="0.2">
      <c r="A322" s="151">
        <v>639</v>
      </c>
      <c r="B322" s="122" t="s">
        <v>1374</v>
      </c>
      <c r="C322" s="116"/>
      <c r="D322" s="107">
        <v>493</v>
      </c>
      <c r="E322" s="46" t="s">
        <v>1375</v>
      </c>
      <c r="F322" s="46"/>
      <c r="G322" s="46"/>
      <c r="H322" s="33" t="s">
        <v>209</v>
      </c>
      <c r="I322" s="107">
        <v>6222</v>
      </c>
      <c r="J322" s="107"/>
      <c r="K322" s="39">
        <v>2.2999999999999998</v>
      </c>
      <c r="L322" s="40" t="s">
        <v>210</v>
      </c>
      <c r="M322" s="147" t="s">
        <v>75</v>
      </c>
      <c r="N322" s="42" t="s">
        <v>63</v>
      </c>
      <c r="O322" s="41" t="s">
        <v>77</v>
      </c>
      <c r="P322" s="46" t="s">
        <v>206</v>
      </c>
      <c r="Q322" s="46" t="s">
        <v>1376</v>
      </c>
      <c r="R322" s="33" t="s">
        <v>1377</v>
      </c>
      <c r="S322" s="45">
        <f t="shared" si="79"/>
        <v>691905</v>
      </c>
      <c r="T322" s="45">
        <v>691905</v>
      </c>
      <c r="U322" s="45">
        <v>0</v>
      </c>
      <c r="V322" s="109" t="s">
        <v>1342</v>
      </c>
      <c r="W322" s="63">
        <v>41942</v>
      </c>
      <c r="X322" s="48"/>
      <c r="Y322" s="109" t="s">
        <v>234</v>
      </c>
      <c r="Z322" s="45"/>
      <c r="AA322" s="45"/>
      <c r="AB322" s="45">
        <f t="shared" si="80"/>
        <v>0</v>
      </c>
      <c r="AC322" s="48"/>
      <c r="AD322" s="63"/>
      <c r="AE322" s="51">
        <f t="shared" si="74"/>
        <v>0</v>
      </c>
      <c r="AF322" s="52">
        <f t="shared" si="75"/>
        <v>5185</v>
      </c>
      <c r="AG322" s="52">
        <v>686720</v>
      </c>
      <c r="AH322" s="52">
        <f>206016+199529.5+189631.46</f>
        <v>595176.95999999996</v>
      </c>
      <c r="AI322" s="52">
        <f t="shared" si="76"/>
        <v>91543.040000000037</v>
      </c>
      <c r="AJ322" s="124">
        <v>0</v>
      </c>
      <c r="AK322" s="45">
        <v>0</v>
      </c>
      <c r="AL322" s="52">
        <f t="shared" si="69"/>
        <v>0</v>
      </c>
      <c r="AM322" s="52">
        <f t="shared" si="71"/>
        <v>686720</v>
      </c>
      <c r="AN322" s="51">
        <f t="shared" si="72"/>
        <v>595176.95999999996</v>
      </c>
      <c r="AO322" s="51">
        <f t="shared" si="70"/>
        <v>91543.040000000037</v>
      </c>
      <c r="AP322" s="125" t="s">
        <v>205</v>
      </c>
      <c r="AQ322" s="52">
        <v>177600</v>
      </c>
      <c r="AR322" s="51">
        <f>73717.8+70060.88</f>
        <v>143778.68</v>
      </c>
      <c r="AS322" s="51">
        <f t="shared" si="67"/>
        <v>33821.320000000007</v>
      </c>
      <c r="AT322" s="51">
        <f t="shared" si="77"/>
        <v>96728.040000000037</v>
      </c>
      <c r="AU322" s="48"/>
      <c r="AV322" s="46"/>
    </row>
    <row r="323" spans="1:48" ht="41.25" hidden="1" x14ac:dyDescent="0.2">
      <c r="A323" s="151">
        <v>639</v>
      </c>
      <c r="B323" s="122" t="s">
        <v>1378</v>
      </c>
      <c r="C323" s="116"/>
      <c r="D323" s="107">
        <v>516</v>
      </c>
      <c r="E323" s="46" t="s">
        <v>1379</v>
      </c>
      <c r="F323" s="46" t="s">
        <v>1380</v>
      </c>
      <c r="G323" s="46" t="s">
        <v>1114</v>
      </c>
      <c r="H323" s="33" t="s">
        <v>576</v>
      </c>
      <c r="I323" s="107">
        <v>6222</v>
      </c>
      <c r="J323" s="107"/>
      <c r="K323" s="39" t="s">
        <v>577</v>
      </c>
      <c r="L323" s="40" t="s">
        <v>578</v>
      </c>
      <c r="M323" s="147" t="s">
        <v>75</v>
      </c>
      <c r="N323" s="42" t="s">
        <v>63</v>
      </c>
      <c r="O323" s="41" t="s">
        <v>77</v>
      </c>
      <c r="P323" s="147" t="s">
        <v>229</v>
      </c>
      <c r="Q323" s="46" t="s">
        <v>1381</v>
      </c>
      <c r="R323" s="33" t="s">
        <v>1382</v>
      </c>
      <c r="S323" s="45">
        <f t="shared" si="79"/>
        <v>235158.21</v>
      </c>
      <c r="T323" s="45">
        <f>238426.39-3268.17-0.01</f>
        <v>235158.21</v>
      </c>
      <c r="U323" s="45">
        <v>0</v>
      </c>
      <c r="V323" s="109" t="s">
        <v>1383</v>
      </c>
      <c r="W323" s="63">
        <v>41942</v>
      </c>
      <c r="X323" s="48"/>
      <c r="Y323" s="109" t="s">
        <v>234</v>
      </c>
      <c r="Z323" s="45"/>
      <c r="AA323" s="45"/>
      <c r="AB323" s="45">
        <f t="shared" si="80"/>
        <v>0</v>
      </c>
      <c r="AC323" s="48"/>
      <c r="AD323" s="63"/>
      <c r="AE323" s="51">
        <f t="shared" si="74"/>
        <v>0</v>
      </c>
      <c r="AF323" s="52">
        <f t="shared" si="75"/>
        <v>0</v>
      </c>
      <c r="AG323" s="52">
        <f>235158.22-0.01</f>
        <v>235158.21</v>
      </c>
      <c r="AH323" s="52">
        <f>70547.46+78789.35+67033.01+18788.39</f>
        <v>235158.21000000002</v>
      </c>
      <c r="AI323" s="52">
        <f t="shared" si="76"/>
        <v>-2.9103830456733704E-11</v>
      </c>
      <c r="AJ323" s="124">
        <v>0</v>
      </c>
      <c r="AK323" s="45">
        <v>0</v>
      </c>
      <c r="AL323" s="52">
        <f t="shared" si="69"/>
        <v>0</v>
      </c>
      <c r="AM323" s="52">
        <f t="shared" si="71"/>
        <v>235158.21</v>
      </c>
      <c r="AN323" s="51">
        <f t="shared" si="72"/>
        <v>235158.21000000002</v>
      </c>
      <c r="AO323" s="51">
        <f t="shared" si="70"/>
        <v>0</v>
      </c>
      <c r="AP323" s="125" t="s">
        <v>105</v>
      </c>
      <c r="AQ323" s="52">
        <v>60816.78</v>
      </c>
      <c r="AR323" s="51">
        <f>29109.36+24765.89+6941.53</f>
        <v>60816.78</v>
      </c>
      <c r="AS323" s="51">
        <f t="shared" si="67"/>
        <v>0</v>
      </c>
      <c r="AT323" s="126">
        <f t="shared" si="77"/>
        <v>-2.9103830456733704E-11</v>
      </c>
      <c r="AU323" s="48"/>
      <c r="AV323" s="46"/>
    </row>
    <row r="324" spans="1:48" ht="20.25" hidden="1" customHeight="1" x14ac:dyDescent="0.2">
      <c r="A324" s="151">
        <v>639</v>
      </c>
      <c r="B324" s="122" t="s">
        <v>1384</v>
      </c>
      <c r="C324" s="116"/>
      <c r="D324" s="107">
        <v>525</v>
      </c>
      <c r="E324" s="46" t="s">
        <v>1385</v>
      </c>
      <c r="F324" s="46"/>
      <c r="G324" s="46"/>
      <c r="H324" s="33" t="s">
        <v>209</v>
      </c>
      <c r="I324" s="107">
        <v>6222</v>
      </c>
      <c r="J324" s="107"/>
      <c r="K324" s="39">
        <v>2.2999999999999998</v>
      </c>
      <c r="L324" s="40" t="s">
        <v>210</v>
      </c>
      <c r="M324" s="147" t="s">
        <v>75</v>
      </c>
      <c r="N324" s="42" t="s">
        <v>76</v>
      </c>
      <c r="O324" s="41" t="s">
        <v>77</v>
      </c>
      <c r="P324" s="46" t="s">
        <v>245</v>
      </c>
      <c r="Q324" s="46" t="s">
        <v>1386</v>
      </c>
      <c r="R324" s="33" t="s">
        <v>1387</v>
      </c>
      <c r="S324" s="45">
        <f t="shared" si="79"/>
        <v>426301.52</v>
      </c>
      <c r="T324" s="45">
        <v>426301.52</v>
      </c>
      <c r="U324" s="45">
        <v>0</v>
      </c>
      <c r="V324" s="109" t="s">
        <v>1342</v>
      </c>
      <c r="W324" s="63">
        <v>41942</v>
      </c>
      <c r="X324" s="48"/>
      <c r="Y324" s="109" t="s">
        <v>234</v>
      </c>
      <c r="Z324" s="45"/>
      <c r="AA324" s="45"/>
      <c r="AB324" s="45">
        <f t="shared" si="80"/>
        <v>0</v>
      </c>
      <c r="AC324" s="48"/>
      <c r="AD324" s="63"/>
      <c r="AE324" s="51">
        <f t="shared" si="74"/>
        <v>0</v>
      </c>
      <c r="AF324" s="52">
        <f t="shared" si="75"/>
        <v>9102.2200000000303</v>
      </c>
      <c r="AG324" s="52">
        <v>417199.3</v>
      </c>
      <c r="AH324" s="52">
        <f>125159.79+54922.29+207398.93</f>
        <v>387481.01</v>
      </c>
      <c r="AI324" s="52">
        <f t="shared" si="76"/>
        <v>29718.289999999979</v>
      </c>
      <c r="AJ324" s="124">
        <v>0</v>
      </c>
      <c r="AK324" s="45">
        <v>0</v>
      </c>
      <c r="AL324" s="52">
        <f t="shared" si="69"/>
        <v>0</v>
      </c>
      <c r="AM324" s="52">
        <f t="shared" si="71"/>
        <v>417199.3</v>
      </c>
      <c r="AN324" s="51">
        <f t="shared" si="72"/>
        <v>387481.01</v>
      </c>
      <c r="AO324" s="51">
        <f t="shared" si="70"/>
        <v>29718.289999999979</v>
      </c>
      <c r="AP324" s="125" t="s">
        <v>1388</v>
      </c>
      <c r="AQ324" s="52">
        <v>107896.37</v>
      </c>
      <c r="AR324" s="51">
        <f>20291.49+76625.22</f>
        <v>96916.71</v>
      </c>
      <c r="AS324" s="51">
        <f t="shared" si="67"/>
        <v>10979.659999999989</v>
      </c>
      <c r="AT324" s="51">
        <f t="shared" si="77"/>
        <v>38820.510000000009</v>
      </c>
      <c r="AU324" s="48"/>
      <c r="AV324" s="46"/>
    </row>
    <row r="325" spans="1:48" ht="26.25" hidden="1" customHeight="1" x14ac:dyDescent="0.2">
      <c r="A325" s="151">
        <v>639</v>
      </c>
      <c r="B325" s="122" t="s">
        <v>1391</v>
      </c>
      <c r="C325" s="116" t="s">
        <v>27</v>
      </c>
      <c r="D325" s="107">
        <v>639</v>
      </c>
      <c r="E325" s="46" t="s">
        <v>1392</v>
      </c>
      <c r="F325" s="46"/>
      <c r="G325" s="46"/>
      <c r="H325" s="33" t="s">
        <v>1393</v>
      </c>
      <c r="I325" s="107">
        <v>6222</v>
      </c>
      <c r="J325" s="107"/>
      <c r="K325" s="39">
        <v>7</v>
      </c>
      <c r="L325" s="118" t="s">
        <v>1394</v>
      </c>
      <c r="M325" s="147" t="s">
        <v>75</v>
      </c>
      <c r="N325" s="42" t="s">
        <v>63</v>
      </c>
      <c r="O325" s="41" t="s">
        <v>77</v>
      </c>
      <c r="P325" s="46" t="s">
        <v>65</v>
      </c>
      <c r="Q325" s="46" t="s">
        <v>1395</v>
      </c>
      <c r="R325" s="256" t="s">
        <v>1396</v>
      </c>
      <c r="S325" s="45">
        <f t="shared" si="79"/>
        <v>123094</v>
      </c>
      <c r="T325" s="45">
        <v>121009.75</v>
      </c>
      <c r="U325" s="45">
        <v>2084.25</v>
      </c>
      <c r="V325" s="109" t="s">
        <v>1397</v>
      </c>
      <c r="W325" s="63">
        <v>41957</v>
      </c>
      <c r="X325" s="48"/>
      <c r="Y325" s="109" t="s">
        <v>1337</v>
      </c>
      <c r="Z325" s="45">
        <v>2059.0500000000002</v>
      </c>
      <c r="AA325" s="45"/>
      <c r="AB325" s="45">
        <f t="shared" si="80"/>
        <v>2059.0500000000002</v>
      </c>
      <c r="AC325" s="48"/>
      <c r="AD325" s="63"/>
      <c r="AE325" s="51">
        <f t="shared" si="74"/>
        <v>25.199999999999818</v>
      </c>
      <c r="AF325" s="52">
        <f t="shared" si="75"/>
        <v>1481.8899999999965</v>
      </c>
      <c r="AG325" s="52">
        <v>119424.91</v>
      </c>
      <c r="AH325" s="52">
        <f>59712.46+50356.52+9355.93</f>
        <v>119424.91</v>
      </c>
      <c r="AI325" s="52">
        <f t="shared" si="76"/>
        <v>0</v>
      </c>
      <c r="AJ325" s="124">
        <v>102.95</v>
      </c>
      <c r="AK325" s="45">
        <v>102.95</v>
      </c>
      <c r="AL325" s="52">
        <f t="shared" si="69"/>
        <v>0</v>
      </c>
      <c r="AM325" s="52">
        <f t="shared" si="71"/>
        <v>121586.91</v>
      </c>
      <c r="AN325" s="51">
        <f t="shared" si="72"/>
        <v>119527.86</v>
      </c>
      <c r="AO325" s="51">
        <f t="shared" si="70"/>
        <v>2059.0500000000029</v>
      </c>
      <c r="AP325" s="125"/>
      <c r="AQ325" s="52">
        <v>51476.26</v>
      </c>
      <c r="AR325" s="51">
        <f>43410.8+8065.46</f>
        <v>51476.26</v>
      </c>
      <c r="AS325" s="51">
        <f t="shared" ref="AS325:AS374" si="81">SUM(AQ325-AR325)</f>
        <v>0</v>
      </c>
      <c r="AT325" s="126">
        <f t="shared" si="77"/>
        <v>3566.1399999999994</v>
      </c>
      <c r="AU325" s="48"/>
      <c r="AV325" s="46"/>
    </row>
    <row r="326" spans="1:48" ht="42.75" hidden="1" customHeight="1" x14ac:dyDescent="0.2">
      <c r="A326" s="151">
        <v>639</v>
      </c>
      <c r="B326" s="122" t="s">
        <v>1398</v>
      </c>
      <c r="C326" s="116" t="s">
        <v>27</v>
      </c>
      <c r="D326" s="107">
        <v>638</v>
      </c>
      <c r="E326" s="46" t="s">
        <v>1399</v>
      </c>
      <c r="F326" s="46"/>
      <c r="G326" s="46"/>
      <c r="H326" s="33" t="s">
        <v>1393</v>
      </c>
      <c r="I326" s="107">
        <v>6222</v>
      </c>
      <c r="J326" s="107"/>
      <c r="K326" s="39">
        <v>7</v>
      </c>
      <c r="L326" s="118" t="s">
        <v>1394</v>
      </c>
      <c r="M326" s="147" t="s">
        <v>75</v>
      </c>
      <c r="N326" s="42" t="s">
        <v>63</v>
      </c>
      <c r="O326" s="41" t="s">
        <v>77</v>
      </c>
      <c r="P326" s="46" t="s">
        <v>65</v>
      </c>
      <c r="Q326" s="46" t="s">
        <v>660</v>
      </c>
      <c r="R326" s="257"/>
      <c r="S326" s="45">
        <f t="shared" si="79"/>
        <v>150000</v>
      </c>
      <c r="T326" s="45">
        <v>147460.17000000001</v>
      </c>
      <c r="U326" s="45">
        <v>2539.83</v>
      </c>
      <c r="V326" s="109" t="s">
        <v>1400</v>
      </c>
      <c r="W326" s="63">
        <v>41949</v>
      </c>
      <c r="X326" s="48"/>
      <c r="Y326" s="109" t="s">
        <v>1337</v>
      </c>
      <c r="Z326" s="45">
        <v>2511.5700000000002</v>
      </c>
      <c r="AA326" s="45"/>
      <c r="AB326" s="45">
        <f t="shared" si="80"/>
        <v>2511.5700000000002</v>
      </c>
      <c r="AC326" s="48"/>
      <c r="AD326" s="63"/>
      <c r="AE326" s="51">
        <f t="shared" si="74"/>
        <v>28.259999999999764</v>
      </c>
      <c r="AF326" s="52">
        <f t="shared" si="75"/>
        <v>1687.4900000000175</v>
      </c>
      <c r="AG326" s="52">
        <v>145647.12</v>
      </c>
      <c r="AH326" s="52">
        <f>72823.56+61133.76+11689.8</f>
        <v>145647.12</v>
      </c>
      <c r="AI326" s="52">
        <f t="shared" si="76"/>
        <v>0</v>
      </c>
      <c r="AJ326" s="124">
        <v>125.56</v>
      </c>
      <c r="AK326" s="45">
        <v>125.56</v>
      </c>
      <c r="AL326" s="52">
        <f t="shared" si="69"/>
        <v>0</v>
      </c>
      <c r="AM326" s="52">
        <f t="shared" si="71"/>
        <v>148284.25</v>
      </c>
      <c r="AN326" s="51">
        <f t="shared" si="72"/>
        <v>145772.68</v>
      </c>
      <c r="AO326" s="51">
        <f t="shared" si="70"/>
        <v>2511.570000000007</v>
      </c>
      <c r="AP326" s="125" t="s">
        <v>1241</v>
      </c>
      <c r="AQ326" s="52">
        <v>62778.93</v>
      </c>
      <c r="AR326" s="51">
        <f>52701.52+10077.41</f>
        <v>62778.929999999993</v>
      </c>
      <c r="AS326" s="51">
        <f t="shared" si="81"/>
        <v>7.2759576141834259E-12</v>
      </c>
      <c r="AT326" s="126">
        <f t="shared" si="77"/>
        <v>4227.320000000007</v>
      </c>
      <c r="AU326" s="48"/>
      <c r="AV326" s="46"/>
    </row>
    <row r="327" spans="1:48" ht="38.25" hidden="1" customHeight="1" x14ac:dyDescent="0.2">
      <c r="A327" s="151">
        <v>639</v>
      </c>
      <c r="B327" s="122" t="s">
        <v>1401</v>
      </c>
      <c r="C327" s="116" t="s">
        <v>27</v>
      </c>
      <c r="D327" s="107">
        <v>635</v>
      </c>
      <c r="E327" s="46" t="s">
        <v>1402</v>
      </c>
      <c r="F327" s="46"/>
      <c r="G327" s="46"/>
      <c r="H327" s="33" t="s">
        <v>1393</v>
      </c>
      <c r="I327" s="107">
        <v>6222</v>
      </c>
      <c r="J327" s="107"/>
      <c r="K327" s="39">
        <v>7</v>
      </c>
      <c r="L327" s="118" t="s">
        <v>1394</v>
      </c>
      <c r="M327" s="147" t="s">
        <v>75</v>
      </c>
      <c r="N327" s="42" t="s">
        <v>63</v>
      </c>
      <c r="O327" s="41" t="s">
        <v>77</v>
      </c>
      <c r="P327" s="46" t="s">
        <v>1289</v>
      </c>
      <c r="Q327" s="46" t="s">
        <v>1403</v>
      </c>
      <c r="R327" s="257"/>
      <c r="S327" s="45">
        <f t="shared" si="79"/>
        <v>300000</v>
      </c>
      <c r="T327" s="45">
        <v>294920.34000000003</v>
      </c>
      <c r="U327" s="45">
        <v>5079.66</v>
      </c>
      <c r="V327" s="109" t="s">
        <v>1400</v>
      </c>
      <c r="W327" s="63">
        <v>41949</v>
      </c>
      <c r="X327" s="48"/>
      <c r="Y327" s="109" t="s">
        <v>1337</v>
      </c>
      <c r="Z327" s="45">
        <v>5051.34</v>
      </c>
      <c r="AA327" s="45"/>
      <c r="AB327" s="45">
        <f t="shared" si="80"/>
        <v>5051.34</v>
      </c>
      <c r="AC327" s="48"/>
      <c r="AD327" s="63"/>
      <c r="AE327" s="51">
        <f t="shared" si="74"/>
        <v>28.319999999999709</v>
      </c>
      <c r="AF327" s="52">
        <f t="shared" si="75"/>
        <v>1690.1900000000094</v>
      </c>
      <c r="AG327" s="52">
        <v>292977.58</v>
      </c>
      <c r="AH327" s="52">
        <f>146488.79+134503.01+11985.78</f>
        <v>292977.58000000007</v>
      </c>
      <c r="AI327" s="52">
        <f t="shared" si="76"/>
        <v>-5.8207660913467407E-11</v>
      </c>
      <c r="AJ327" s="124">
        <v>252.57</v>
      </c>
      <c r="AK327" s="45">
        <v>252.57</v>
      </c>
      <c r="AL327" s="52">
        <f t="shared" si="69"/>
        <v>0</v>
      </c>
      <c r="AM327" s="52">
        <f t="shared" si="71"/>
        <v>298281.49000000005</v>
      </c>
      <c r="AN327" s="51">
        <f t="shared" si="72"/>
        <v>293230.15000000008</v>
      </c>
      <c r="AO327" s="51">
        <f t="shared" si="70"/>
        <v>5051.3399999999674</v>
      </c>
      <c r="AP327" s="125" t="s">
        <v>1404</v>
      </c>
      <c r="AQ327" s="52">
        <v>126283.44</v>
      </c>
      <c r="AR327" s="51">
        <f>115950.87+10332.57</f>
        <v>126283.44</v>
      </c>
      <c r="AS327" s="51">
        <f t="shared" si="81"/>
        <v>0</v>
      </c>
      <c r="AT327" s="126">
        <f t="shared" si="77"/>
        <v>6769.8499999999185</v>
      </c>
      <c r="AU327" s="48"/>
      <c r="AV327" s="46"/>
    </row>
    <row r="328" spans="1:48" ht="27" hidden="1" customHeight="1" x14ac:dyDescent="0.2">
      <c r="A328" s="32">
        <v>636</v>
      </c>
      <c r="B328" s="122" t="s">
        <v>1405</v>
      </c>
      <c r="C328" s="116"/>
      <c r="D328" s="161">
        <v>642</v>
      </c>
      <c r="E328" s="46" t="s">
        <v>1406</v>
      </c>
      <c r="F328" s="46"/>
      <c r="G328" s="46"/>
      <c r="H328" s="33" t="s">
        <v>1407</v>
      </c>
      <c r="I328" s="107">
        <v>6241</v>
      </c>
      <c r="J328" s="107"/>
      <c r="K328" s="39"/>
      <c r="L328" s="118" t="s">
        <v>1408</v>
      </c>
      <c r="M328" s="147" t="s">
        <v>1409</v>
      </c>
      <c r="N328" s="42" t="s">
        <v>76</v>
      </c>
      <c r="O328" s="148" t="s">
        <v>88</v>
      </c>
      <c r="P328" s="46" t="s">
        <v>98</v>
      </c>
      <c r="Q328" s="46" t="s">
        <v>979</v>
      </c>
      <c r="R328" s="46" t="s">
        <v>1410</v>
      </c>
      <c r="S328" s="45">
        <f t="shared" si="79"/>
        <v>44000000</v>
      </c>
      <c r="T328" s="45">
        <v>44000000</v>
      </c>
      <c r="U328" s="45">
        <v>0</v>
      </c>
      <c r="V328" s="109" t="s">
        <v>1411</v>
      </c>
      <c r="W328" s="63">
        <v>41949</v>
      </c>
      <c r="X328" s="48"/>
      <c r="Y328" s="109" t="s">
        <v>234</v>
      </c>
      <c r="Z328" s="45"/>
      <c r="AA328" s="45"/>
      <c r="AB328" s="45">
        <f t="shared" si="80"/>
        <v>0</v>
      </c>
      <c r="AC328" s="48"/>
      <c r="AD328" s="63"/>
      <c r="AE328" s="51">
        <f t="shared" si="74"/>
        <v>0</v>
      </c>
      <c r="AF328" s="52">
        <f t="shared" si="75"/>
        <v>155354.85000000149</v>
      </c>
      <c r="AG328" s="52">
        <v>43844645.149999999</v>
      </c>
      <c r="AH328" s="52">
        <f>13153393.55+12919244.85</f>
        <v>26072638.399999999</v>
      </c>
      <c r="AI328" s="52">
        <f t="shared" si="76"/>
        <v>17772006.75</v>
      </c>
      <c r="AJ328" s="124">
        <v>0</v>
      </c>
      <c r="AK328" s="45">
        <v>0</v>
      </c>
      <c r="AL328" s="52">
        <f t="shared" si="69"/>
        <v>0</v>
      </c>
      <c r="AM328" s="52">
        <f t="shared" si="71"/>
        <v>43844645.149999999</v>
      </c>
      <c r="AN328" s="51">
        <f t="shared" si="72"/>
        <v>26072638.399999999</v>
      </c>
      <c r="AO328" s="51">
        <f t="shared" si="70"/>
        <v>17772006.75</v>
      </c>
      <c r="AP328" s="125" t="s">
        <v>1412</v>
      </c>
      <c r="AQ328" s="52">
        <v>11339132.369999999</v>
      </c>
      <c r="AR328" s="51">
        <v>4773120.0199999996</v>
      </c>
      <c r="AS328" s="51">
        <f t="shared" si="81"/>
        <v>6566012.3499999996</v>
      </c>
      <c r="AT328" s="51">
        <f t="shared" si="77"/>
        <v>17927361.600000001</v>
      </c>
      <c r="AU328" s="48"/>
      <c r="AV328" s="46"/>
    </row>
    <row r="329" spans="1:48" ht="43.5" hidden="1" customHeight="1" x14ac:dyDescent="0.2">
      <c r="A329" s="32">
        <v>636</v>
      </c>
      <c r="B329" s="122" t="s">
        <v>1413</v>
      </c>
      <c r="C329" s="116"/>
      <c r="D329" s="107">
        <v>618</v>
      </c>
      <c r="E329" s="46" t="s">
        <v>1414</v>
      </c>
      <c r="F329" s="46" t="s">
        <v>1415</v>
      </c>
      <c r="G329" s="46"/>
      <c r="H329" s="33" t="s">
        <v>1393</v>
      </c>
      <c r="I329" s="107">
        <v>6132</v>
      </c>
      <c r="J329" s="107"/>
      <c r="K329" s="39">
        <v>7</v>
      </c>
      <c r="L329" s="118" t="s">
        <v>1394</v>
      </c>
      <c r="M329" s="147" t="s">
        <v>250</v>
      </c>
      <c r="N329" s="42" t="s">
        <v>76</v>
      </c>
      <c r="O329" s="148" t="s">
        <v>252</v>
      </c>
      <c r="P329" s="46" t="s">
        <v>229</v>
      </c>
      <c r="Q329" s="46" t="s">
        <v>1416</v>
      </c>
      <c r="R329" s="33" t="s">
        <v>1417</v>
      </c>
      <c r="S329" s="45">
        <f t="shared" si="79"/>
        <v>596739.62000000011</v>
      </c>
      <c r="T329" s="45">
        <f>589840.68-2862.07</f>
        <v>586978.6100000001</v>
      </c>
      <c r="U329" s="45">
        <f>10159.32-398.31</f>
        <v>9761.01</v>
      </c>
      <c r="V329" s="109" t="s">
        <v>1418</v>
      </c>
      <c r="W329" s="63">
        <v>41943</v>
      </c>
      <c r="X329" s="48"/>
      <c r="Y329" s="109" t="s">
        <v>1337</v>
      </c>
      <c r="Z329" s="45">
        <f>10111.6-350.59</f>
        <v>9761.01</v>
      </c>
      <c r="AA329" s="45">
        <f>5800+1415.2+2545.81</f>
        <v>9761.01</v>
      </c>
      <c r="AB329" s="45">
        <f t="shared" si="80"/>
        <v>0</v>
      </c>
      <c r="AC329" s="48" t="s">
        <v>93</v>
      </c>
      <c r="AD329" s="63">
        <v>42293</v>
      </c>
      <c r="AE329" s="51">
        <f t="shared" si="74"/>
        <v>0</v>
      </c>
      <c r="AF329" s="52">
        <f t="shared" si="75"/>
        <v>7.4521722126519307E-11</v>
      </c>
      <c r="AG329" s="52">
        <v>586473.03</v>
      </c>
      <c r="AH329" s="52">
        <f>293236.52+293236.51</f>
        <v>586473.03</v>
      </c>
      <c r="AI329" s="52">
        <f t="shared" si="76"/>
        <v>0</v>
      </c>
      <c r="AJ329" s="124">
        <v>505.58</v>
      </c>
      <c r="AK329" s="45">
        <v>505.58</v>
      </c>
      <c r="AL329" s="52">
        <f t="shared" si="69"/>
        <v>0</v>
      </c>
      <c r="AM329" s="52">
        <f t="shared" si="71"/>
        <v>596739.62</v>
      </c>
      <c r="AN329" s="51">
        <f t="shared" si="72"/>
        <v>596739.62</v>
      </c>
      <c r="AO329" s="51">
        <f t="shared" si="70"/>
        <v>0</v>
      </c>
      <c r="AP329" s="125" t="s">
        <v>1419</v>
      </c>
      <c r="AQ329" s="52">
        <v>252790.1</v>
      </c>
      <c r="AR329" s="51">
        <v>252790.1</v>
      </c>
      <c r="AS329" s="51">
        <f t="shared" si="81"/>
        <v>0</v>
      </c>
      <c r="AT329" s="126">
        <f t="shared" si="77"/>
        <v>1.1641532182693481E-10</v>
      </c>
      <c r="AU329" s="48"/>
      <c r="AV329" s="46"/>
    </row>
    <row r="330" spans="1:48" ht="37.5" hidden="1" customHeight="1" x14ac:dyDescent="0.2">
      <c r="A330" s="32">
        <v>636</v>
      </c>
      <c r="B330" s="122" t="s">
        <v>1421</v>
      </c>
      <c r="C330" s="116"/>
      <c r="D330" s="107">
        <v>617</v>
      </c>
      <c r="E330" s="46" t="s">
        <v>1422</v>
      </c>
      <c r="F330" s="46"/>
      <c r="G330" s="46"/>
      <c r="H330" s="33" t="s">
        <v>1393</v>
      </c>
      <c r="I330" s="107">
        <v>6132</v>
      </c>
      <c r="J330" s="107"/>
      <c r="K330" s="39">
        <v>7</v>
      </c>
      <c r="L330" s="118" t="s">
        <v>1394</v>
      </c>
      <c r="M330" s="147" t="s">
        <v>250</v>
      </c>
      <c r="N330" s="42" t="s">
        <v>76</v>
      </c>
      <c r="O330" s="148" t="s">
        <v>252</v>
      </c>
      <c r="P330" s="46" t="s">
        <v>229</v>
      </c>
      <c r="Q330" s="46" t="s">
        <v>1423</v>
      </c>
      <c r="R330" s="256" t="s">
        <v>1424</v>
      </c>
      <c r="S330" s="45">
        <f t="shared" si="79"/>
        <v>480000</v>
      </c>
      <c r="T330" s="45">
        <v>471872.54</v>
      </c>
      <c r="U330" s="45">
        <v>8127.46</v>
      </c>
      <c r="V330" s="109" t="s">
        <v>1418</v>
      </c>
      <c r="W330" s="63">
        <v>41943</v>
      </c>
      <c r="X330" s="48"/>
      <c r="Y330" s="109" t="s">
        <v>1337</v>
      </c>
      <c r="Z330" s="45">
        <v>8055.79</v>
      </c>
      <c r="AA330" s="45">
        <v>728.92</v>
      </c>
      <c r="AB330" s="45">
        <f t="shared" si="80"/>
        <v>7326.87</v>
      </c>
      <c r="AC330" s="48" t="s">
        <v>93</v>
      </c>
      <c r="AD330" s="63">
        <v>42347</v>
      </c>
      <c r="AE330" s="51">
        <f t="shared" si="74"/>
        <v>71.670000000000073</v>
      </c>
      <c r="AF330" s="52">
        <f t="shared" si="75"/>
        <v>4234.0999999999558</v>
      </c>
      <c r="AG330" s="52">
        <v>467235.65</v>
      </c>
      <c r="AH330" s="52">
        <f>233617.82+176496.37</f>
        <v>410114.19</v>
      </c>
      <c r="AI330" s="52">
        <f t="shared" si="76"/>
        <v>57121.460000000021</v>
      </c>
      <c r="AJ330" s="124">
        <v>402.79</v>
      </c>
      <c r="AK330" s="45">
        <v>0</v>
      </c>
      <c r="AL330" s="52">
        <f t="shared" si="69"/>
        <v>402.79</v>
      </c>
      <c r="AM330" s="52">
        <f t="shared" si="71"/>
        <v>475694.23</v>
      </c>
      <c r="AN330" s="51">
        <f t="shared" si="72"/>
        <v>410843.11</v>
      </c>
      <c r="AO330" s="51">
        <f t="shared" si="70"/>
        <v>64851.119999999995</v>
      </c>
      <c r="AP330" s="125" t="s">
        <v>1241</v>
      </c>
      <c r="AQ330" s="52">
        <v>201394.67</v>
      </c>
      <c r="AR330" s="51">
        <v>152152.04999999999</v>
      </c>
      <c r="AS330" s="51">
        <f t="shared" si="81"/>
        <v>49242.620000000024</v>
      </c>
      <c r="AT330" s="51">
        <f t="shared" si="77"/>
        <v>69156.890000000014</v>
      </c>
      <c r="AU330" s="48"/>
      <c r="AV330" s="46" t="s">
        <v>1425</v>
      </c>
    </row>
    <row r="331" spans="1:48" ht="40.5" hidden="1" customHeight="1" x14ac:dyDescent="0.2">
      <c r="A331" s="32">
        <v>636</v>
      </c>
      <c r="B331" s="122" t="s">
        <v>1426</v>
      </c>
      <c r="C331" s="116"/>
      <c r="D331" s="107">
        <v>616</v>
      </c>
      <c r="E331" s="46" t="s">
        <v>1427</v>
      </c>
      <c r="F331" s="46"/>
      <c r="G331" s="46"/>
      <c r="H331" s="33" t="s">
        <v>1393</v>
      </c>
      <c r="I331" s="107">
        <v>6132</v>
      </c>
      <c r="J331" s="107"/>
      <c r="K331" s="39">
        <v>7</v>
      </c>
      <c r="L331" s="118" t="s">
        <v>1394</v>
      </c>
      <c r="M331" s="147" t="s">
        <v>250</v>
      </c>
      <c r="N331" s="42" t="s">
        <v>76</v>
      </c>
      <c r="O331" s="148" t="s">
        <v>252</v>
      </c>
      <c r="P331" s="46" t="s">
        <v>229</v>
      </c>
      <c r="Q331" s="46" t="s">
        <v>1428</v>
      </c>
      <c r="R331" s="257"/>
      <c r="S331" s="45">
        <f t="shared" si="79"/>
        <v>160000</v>
      </c>
      <c r="T331" s="45">
        <v>157290.85</v>
      </c>
      <c r="U331" s="45">
        <v>2709.15</v>
      </c>
      <c r="V331" s="109" t="s">
        <v>1418</v>
      </c>
      <c r="W331" s="63">
        <v>41943</v>
      </c>
      <c r="X331" s="48"/>
      <c r="Y331" s="109" t="s">
        <v>1337</v>
      </c>
      <c r="Z331" s="45">
        <v>2667.85</v>
      </c>
      <c r="AA331" s="45"/>
      <c r="AB331" s="45">
        <f t="shared" si="80"/>
        <v>2667.85</v>
      </c>
      <c r="AC331" s="48"/>
      <c r="AD331" s="63"/>
      <c r="AE331" s="51">
        <f t="shared" si="74"/>
        <v>41.300000000000182</v>
      </c>
      <c r="AF331" s="52">
        <f t="shared" si="75"/>
        <v>2422.1800000000071</v>
      </c>
      <c r="AG331" s="52">
        <v>154735.28</v>
      </c>
      <c r="AH331" s="52">
        <f>77367.64+65746.72</f>
        <v>143114.35999999999</v>
      </c>
      <c r="AI331" s="52">
        <f t="shared" si="76"/>
        <v>11620.920000000013</v>
      </c>
      <c r="AJ331" s="124">
        <v>133.38999999999999</v>
      </c>
      <c r="AK331" s="45">
        <v>0</v>
      </c>
      <c r="AL331" s="52">
        <f t="shared" si="69"/>
        <v>133.38999999999999</v>
      </c>
      <c r="AM331" s="52">
        <f t="shared" si="71"/>
        <v>157536.52000000002</v>
      </c>
      <c r="AN331" s="51">
        <f t="shared" si="72"/>
        <v>143114.35999999999</v>
      </c>
      <c r="AO331" s="51">
        <f t="shared" si="70"/>
        <v>14422.160000000033</v>
      </c>
      <c r="AP331" s="125" t="s">
        <v>1241</v>
      </c>
      <c r="AQ331" s="52">
        <v>66696.240000000005</v>
      </c>
      <c r="AR331" s="51">
        <v>56678.21</v>
      </c>
      <c r="AS331" s="51">
        <f t="shared" si="81"/>
        <v>10018.030000000006</v>
      </c>
      <c r="AT331" s="51">
        <f t="shared" si="77"/>
        <v>16885.640000000014</v>
      </c>
      <c r="AU331" s="48"/>
      <c r="AV331" s="46" t="s">
        <v>1425</v>
      </c>
    </row>
    <row r="332" spans="1:48" ht="43.5" hidden="1" customHeight="1" x14ac:dyDescent="0.2">
      <c r="A332" s="32">
        <v>636</v>
      </c>
      <c r="B332" s="122" t="s">
        <v>1429</v>
      </c>
      <c r="C332" s="116"/>
      <c r="D332" s="107">
        <v>615</v>
      </c>
      <c r="E332" s="46" t="s">
        <v>1430</v>
      </c>
      <c r="F332" s="46"/>
      <c r="G332" s="46"/>
      <c r="H332" s="33" t="s">
        <v>1393</v>
      </c>
      <c r="I332" s="107">
        <v>6132</v>
      </c>
      <c r="J332" s="107"/>
      <c r="K332" s="39">
        <v>7</v>
      </c>
      <c r="L332" s="118" t="s">
        <v>1394</v>
      </c>
      <c r="M332" s="147" t="s">
        <v>250</v>
      </c>
      <c r="N332" s="42" t="s">
        <v>76</v>
      </c>
      <c r="O332" s="148" t="s">
        <v>252</v>
      </c>
      <c r="P332" s="46" t="s">
        <v>229</v>
      </c>
      <c r="Q332" s="46" t="s">
        <v>1431</v>
      </c>
      <c r="R332" s="258"/>
      <c r="S332" s="45">
        <f t="shared" si="79"/>
        <v>325000</v>
      </c>
      <c r="T332" s="45">
        <v>319497.03000000003</v>
      </c>
      <c r="U332" s="45">
        <v>5502.97</v>
      </c>
      <c r="V332" s="109" t="s">
        <v>1418</v>
      </c>
      <c r="W332" s="63">
        <v>41943</v>
      </c>
      <c r="X332" s="48"/>
      <c r="Y332" s="109" t="s">
        <v>1337</v>
      </c>
      <c r="Z332" s="45">
        <v>5473</v>
      </c>
      <c r="AA332" s="45"/>
      <c r="AB332" s="45">
        <f t="shared" si="80"/>
        <v>5473</v>
      </c>
      <c r="AC332" s="48"/>
      <c r="AD332" s="63"/>
      <c r="AE332" s="51">
        <f t="shared" si="74"/>
        <v>29.970000000000255</v>
      </c>
      <c r="AF332" s="52">
        <f t="shared" si="75"/>
        <v>1789.5500000000116</v>
      </c>
      <c r="AG332" s="52">
        <v>317433.83</v>
      </c>
      <c r="AH332" s="52">
        <f>158716.91+141783.26</f>
        <v>300500.17000000004</v>
      </c>
      <c r="AI332" s="52">
        <f t="shared" si="76"/>
        <v>16933.659999999974</v>
      </c>
      <c r="AJ332" s="124">
        <v>273.64999999999998</v>
      </c>
      <c r="AK332" s="45">
        <v>0</v>
      </c>
      <c r="AL332" s="52">
        <f t="shared" si="69"/>
        <v>273.64999999999998</v>
      </c>
      <c r="AM332" s="52">
        <f t="shared" si="71"/>
        <v>323180.48000000004</v>
      </c>
      <c r="AN332" s="51">
        <f t="shared" si="72"/>
        <v>300500.17000000004</v>
      </c>
      <c r="AO332" s="51">
        <f t="shared" si="70"/>
        <v>22680.309999999998</v>
      </c>
      <c r="AP332" s="125" t="s">
        <v>1241</v>
      </c>
      <c r="AQ332" s="52">
        <v>136824.92000000001</v>
      </c>
      <c r="AR332" s="51">
        <v>122226.95</v>
      </c>
      <c r="AS332" s="51">
        <f t="shared" si="81"/>
        <v>14597.970000000016</v>
      </c>
      <c r="AT332" s="51">
        <f t="shared" si="77"/>
        <v>24499.829999999958</v>
      </c>
      <c r="AU332" s="48"/>
      <c r="AV332" s="46" t="s">
        <v>1425</v>
      </c>
    </row>
    <row r="333" spans="1:48" ht="33.75" hidden="1" customHeight="1" x14ac:dyDescent="0.2">
      <c r="A333" s="32">
        <v>636</v>
      </c>
      <c r="B333" s="94" t="s">
        <v>1432</v>
      </c>
      <c r="C333" s="116"/>
      <c r="D333" s="107">
        <v>602</v>
      </c>
      <c r="E333" s="253" t="s">
        <v>1433</v>
      </c>
      <c r="F333" s="82"/>
      <c r="G333" s="82"/>
      <c r="H333" s="33" t="s">
        <v>778</v>
      </c>
      <c r="I333" s="107">
        <v>6227</v>
      </c>
      <c r="J333" s="107">
        <v>3</v>
      </c>
      <c r="K333" s="39">
        <v>3.2</v>
      </c>
      <c r="L333" s="118" t="s">
        <v>797</v>
      </c>
      <c r="M333" s="147" t="s">
        <v>1434</v>
      </c>
      <c r="N333" s="42" t="s">
        <v>76</v>
      </c>
      <c r="O333" s="148" t="s">
        <v>228</v>
      </c>
      <c r="P333" s="46" t="s">
        <v>65</v>
      </c>
      <c r="Q333" s="46" t="s">
        <v>798</v>
      </c>
      <c r="R333" s="256" t="s">
        <v>1435</v>
      </c>
      <c r="S333" s="45">
        <f t="shared" si="79"/>
        <v>1959276.46</v>
      </c>
      <c r="T333" s="45">
        <f>2000000-40723.54</f>
        <v>1959276.46</v>
      </c>
      <c r="U333" s="45">
        <v>0</v>
      </c>
      <c r="V333" s="109" t="s">
        <v>1436</v>
      </c>
      <c r="W333" s="63">
        <v>41949</v>
      </c>
      <c r="X333" s="48"/>
      <c r="Y333" s="109" t="s">
        <v>234</v>
      </c>
      <c r="Z333" s="45"/>
      <c r="AA333" s="45"/>
      <c r="AB333" s="45">
        <f t="shared" si="80"/>
        <v>0</v>
      </c>
      <c r="AC333" s="48"/>
      <c r="AD333" s="63"/>
      <c r="AE333" s="51">
        <f t="shared" si="74"/>
        <v>0</v>
      </c>
      <c r="AF333" s="52">
        <f t="shared" si="75"/>
        <v>0</v>
      </c>
      <c r="AG333" s="52">
        <v>1959276.46</v>
      </c>
      <c r="AH333" s="52">
        <f>587782.94+1162489.53+209003.99</f>
        <v>1959276.46</v>
      </c>
      <c r="AI333" s="52">
        <f t="shared" si="76"/>
        <v>0</v>
      </c>
      <c r="AJ333" s="124">
        <v>0</v>
      </c>
      <c r="AK333" s="45">
        <v>0</v>
      </c>
      <c r="AL333" s="52">
        <f t="shared" ref="AL333:AL387" si="82">+AJ333-AK333</f>
        <v>0</v>
      </c>
      <c r="AM333" s="52">
        <f t="shared" si="71"/>
        <v>1959276.46</v>
      </c>
      <c r="AN333" s="51">
        <f t="shared" si="72"/>
        <v>1959276.46</v>
      </c>
      <c r="AO333" s="51">
        <f t="shared" ref="AO333:AO387" si="83">+AM333-AN333</f>
        <v>0</v>
      </c>
      <c r="AP333" s="125" t="s">
        <v>1437</v>
      </c>
      <c r="AQ333" s="52">
        <v>506709.43</v>
      </c>
      <c r="AR333" s="51">
        <v>506709.43</v>
      </c>
      <c r="AS333" s="51">
        <f t="shared" si="81"/>
        <v>0</v>
      </c>
      <c r="AT333" s="126">
        <f t="shared" si="77"/>
        <v>0</v>
      </c>
      <c r="AU333" s="48"/>
      <c r="AV333" s="46" t="s">
        <v>783</v>
      </c>
    </row>
    <row r="334" spans="1:48" ht="32.25" hidden="1" customHeight="1" x14ac:dyDescent="0.2">
      <c r="A334" s="32">
        <v>636</v>
      </c>
      <c r="B334" s="74"/>
      <c r="C334" s="116"/>
      <c r="D334" s="107">
        <v>603</v>
      </c>
      <c r="E334" s="255"/>
      <c r="F334" s="36"/>
      <c r="G334" s="36"/>
      <c r="H334" s="33" t="s">
        <v>800</v>
      </c>
      <c r="I334" s="107">
        <v>6227</v>
      </c>
      <c r="J334" s="107">
        <v>3</v>
      </c>
      <c r="K334" s="39">
        <v>2</v>
      </c>
      <c r="L334" s="40" t="s">
        <v>61</v>
      </c>
      <c r="M334" s="147" t="s">
        <v>1434</v>
      </c>
      <c r="N334" s="42" t="s">
        <v>76</v>
      </c>
      <c r="O334" s="148" t="s">
        <v>228</v>
      </c>
      <c r="P334" s="46" t="s">
        <v>65</v>
      </c>
      <c r="Q334" s="46" t="s">
        <v>798</v>
      </c>
      <c r="R334" s="258"/>
      <c r="S334" s="45">
        <f t="shared" si="79"/>
        <v>1959276.46</v>
      </c>
      <c r="T334" s="45">
        <f>2000000-40723.54</f>
        <v>1959276.46</v>
      </c>
      <c r="U334" s="45">
        <v>0</v>
      </c>
      <c r="V334" s="109" t="s">
        <v>1436</v>
      </c>
      <c r="W334" s="63">
        <v>41949</v>
      </c>
      <c r="X334" s="48"/>
      <c r="Y334" s="109" t="s">
        <v>234</v>
      </c>
      <c r="Z334" s="45"/>
      <c r="AA334" s="45"/>
      <c r="AB334" s="45">
        <f t="shared" si="80"/>
        <v>0</v>
      </c>
      <c r="AC334" s="48"/>
      <c r="AD334" s="63"/>
      <c r="AE334" s="51">
        <f t="shared" si="74"/>
        <v>0</v>
      </c>
      <c r="AF334" s="52">
        <f t="shared" si="75"/>
        <v>0</v>
      </c>
      <c r="AG334" s="52">
        <v>1959276.46</v>
      </c>
      <c r="AH334" s="52">
        <f>587782.94+1162489.53+209003.99</f>
        <v>1959276.46</v>
      </c>
      <c r="AI334" s="52">
        <f t="shared" si="76"/>
        <v>0</v>
      </c>
      <c r="AJ334" s="124">
        <v>0</v>
      </c>
      <c r="AK334" s="45">
        <v>0</v>
      </c>
      <c r="AL334" s="52">
        <f t="shared" si="82"/>
        <v>0</v>
      </c>
      <c r="AM334" s="52">
        <f t="shared" si="71"/>
        <v>1959276.46</v>
      </c>
      <c r="AN334" s="51">
        <f t="shared" si="72"/>
        <v>1959276.46</v>
      </c>
      <c r="AO334" s="51">
        <f t="shared" si="83"/>
        <v>0</v>
      </c>
      <c r="AP334" s="125" t="s">
        <v>1437</v>
      </c>
      <c r="AQ334" s="52">
        <v>506709.43</v>
      </c>
      <c r="AR334" s="51">
        <v>506709.43</v>
      </c>
      <c r="AS334" s="51">
        <f t="shared" si="81"/>
        <v>0</v>
      </c>
      <c r="AT334" s="126">
        <f t="shared" si="77"/>
        <v>0</v>
      </c>
      <c r="AU334" s="48"/>
      <c r="AV334" s="46" t="s">
        <v>801</v>
      </c>
    </row>
    <row r="335" spans="1:48" ht="25.5" hidden="1" customHeight="1" x14ac:dyDescent="0.2">
      <c r="A335" s="151">
        <v>639</v>
      </c>
      <c r="B335" s="122" t="s">
        <v>1438</v>
      </c>
      <c r="C335" s="116"/>
      <c r="D335" s="107">
        <v>634</v>
      </c>
      <c r="E335" s="46" t="s">
        <v>1439</v>
      </c>
      <c r="F335" s="46"/>
      <c r="G335" s="46"/>
      <c r="H335" s="105"/>
      <c r="I335" s="107">
        <v>6222</v>
      </c>
      <c r="J335" s="107"/>
      <c r="K335" s="39">
        <v>7</v>
      </c>
      <c r="L335" s="118" t="s">
        <v>1394</v>
      </c>
      <c r="M335" s="147" t="s">
        <v>75</v>
      </c>
      <c r="N335" s="42" t="s">
        <v>63</v>
      </c>
      <c r="O335" s="41" t="s">
        <v>77</v>
      </c>
      <c r="P335" s="46" t="s">
        <v>65</v>
      </c>
      <c r="Q335" s="46" t="s">
        <v>1440</v>
      </c>
      <c r="R335" s="33"/>
      <c r="S335" s="45">
        <f t="shared" si="79"/>
        <v>300000</v>
      </c>
      <c r="T335" s="45">
        <v>294920.34000000003</v>
      </c>
      <c r="U335" s="45">
        <v>5079.66</v>
      </c>
      <c r="V335" s="109" t="s">
        <v>1400</v>
      </c>
      <c r="W335" s="63">
        <v>41949</v>
      </c>
      <c r="X335" s="48"/>
      <c r="Y335" s="109" t="s">
        <v>1337</v>
      </c>
      <c r="Z335" s="45"/>
      <c r="AA335" s="45"/>
      <c r="AB335" s="45">
        <f t="shared" si="80"/>
        <v>0</v>
      </c>
      <c r="AC335" s="48"/>
      <c r="AD335" s="63"/>
      <c r="AE335" s="51">
        <f t="shared" si="74"/>
        <v>5079.66</v>
      </c>
      <c r="AF335" s="52">
        <f t="shared" si="75"/>
        <v>294920.34000000003</v>
      </c>
      <c r="AG335" s="52"/>
      <c r="AH335" s="52"/>
      <c r="AI335" s="52">
        <f t="shared" si="76"/>
        <v>0</v>
      </c>
      <c r="AJ335" s="124">
        <v>0</v>
      </c>
      <c r="AK335" s="45">
        <v>0</v>
      </c>
      <c r="AL335" s="52">
        <f t="shared" si="82"/>
        <v>0</v>
      </c>
      <c r="AM335" s="52">
        <f t="shared" si="71"/>
        <v>0</v>
      </c>
      <c r="AN335" s="51">
        <f t="shared" si="72"/>
        <v>0</v>
      </c>
      <c r="AO335" s="51">
        <f t="shared" si="83"/>
        <v>0</v>
      </c>
      <c r="AP335" s="125"/>
      <c r="AQ335" s="52"/>
      <c r="AR335" s="51"/>
      <c r="AS335" s="51">
        <f t="shared" si="81"/>
        <v>0</v>
      </c>
      <c r="AT335" s="51">
        <f t="shared" si="77"/>
        <v>300000</v>
      </c>
      <c r="AU335" s="48"/>
      <c r="AV335" s="46"/>
    </row>
    <row r="336" spans="1:48" ht="20.25" hidden="1" customHeight="1" x14ac:dyDescent="0.2">
      <c r="A336" s="32">
        <v>636</v>
      </c>
      <c r="B336" s="122" t="s">
        <v>1441</v>
      </c>
      <c r="C336" s="116"/>
      <c r="D336" s="107">
        <v>605</v>
      </c>
      <c r="E336" s="46" t="s">
        <v>1442</v>
      </c>
      <c r="F336" s="46"/>
      <c r="G336" s="46" t="s">
        <v>763</v>
      </c>
      <c r="H336" s="33" t="s">
        <v>60</v>
      </c>
      <c r="I336" s="107">
        <v>6122</v>
      </c>
      <c r="J336" s="107"/>
      <c r="K336" s="39">
        <v>2</v>
      </c>
      <c r="L336" s="40" t="s">
        <v>61</v>
      </c>
      <c r="M336" s="147" t="s">
        <v>278</v>
      </c>
      <c r="N336" s="42" t="s">
        <v>76</v>
      </c>
      <c r="O336" s="148" t="s">
        <v>279</v>
      </c>
      <c r="P336" s="46" t="s">
        <v>104</v>
      </c>
      <c r="Q336" s="46" t="s">
        <v>1443</v>
      </c>
      <c r="R336" s="33" t="s">
        <v>1444</v>
      </c>
      <c r="S336" s="45">
        <f t="shared" si="79"/>
        <v>235646.81</v>
      </c>
      <c r="T336" s="45">
        <v>229706.13</v>
      </c>
      <c r="U336" s="45">
        <v>5940.68</v>
      </c>
      <c r="V336" s="109" t="s">
        <v>1445</v>
      </c>
      <c r="W336" s="63">
        <v>41949</v>
      </c>
      <c r="X336" s="48"/>
      <c r="Y336" s="109" t="s">
        <v>1446</v>
      </c>
      <c r="Z336" s="45">
        <v>5834.84</v>
      </c>
      <c r="AA336" s="45"/>
      <c r="AB336" s="45">
        <f t="shared" si="80"/>
        <v>5834.84</v>
      </c>
      <c r="AC336" s="48"/>
      <c r="AD336" s="63"/>
      <c r="AE336" s="51">
        <f t="shared" si="74"/>
        <v>105.84000000000015</v>
      </c>
      <c r="AF336" s="52">
        <f t="shared" si="75"/>
        <v>4092.3800000000047</v>
      </c>
      <c r="AG336" s="52">
        <v>225613.75</v>
      </c>
      <c r="AH336" s="52">
        <v>225613.75</v>
      </c>
      <c r="AI336" s="52">
        <f t="shared" si="76"/>
        <v>0</v>
      </c>
      <c r="AJ336" s="124">
        <v>0</v>
      </c>
      <c r="AK336" s="45">
        <v>0</v>
      </c>
      <c r="AL336" s="52">
        <f t="shared" si="82"/>
        <v>0</v>
      </c>
      <c r="AM336" s="52">
        <f t="shared" si="71"/>
        <v>231448.59</v>
      </c>
      <c r="AN336" s="51">
        <f t="shared" si="72"/>
        <v>225613.75</v>
      </c>
      <c r="AO336" s="51">
        <f t="shared" si="83"/>
        <v>5834.8399999999965</v>
      </c>
      <c r="AP336" s="125" t="s">
        <v>333</v>
      </c>
      <c r="AQ336" s="52"/>
      <c r="AR336" s="51"/>
      <c r="AS336" s="51">
        <f t="shared" si="81"/>
        <v>0</v>
      </c>
      <c r="AT336" s="126">
        <f t="shared" si="77"/>
        <v>10033.059999999998</v>
      </c>
      <c r="AU336" s="48"/>
      <c r="AV336" s="46"/>
    </row>
    <row r="337" spans="1:54" ht="46.5" hidden="1" customHeight="1" x14ac:dyDescent="0.2">
      <c r="A337" s="32">
        <v>636</v>
      </c>
      <c r="B337" s="122" t="s">
        <v>1447</v>
      </c>
      <c r="C337" s="116"/>
      <c r="D337" s="107">
        <v>640</v>
      </c>
      <c r="E337" s="46" t="s">
        <v>1448</v>
      </c>
      <c r="F337" s="46"/>
      <c r="G337" s="46"/>
      <c r="H337" s="105"/>
      <c r="I337" s="107">
        <v>6223</v>
      </c>
      <c r="J337" s="107"/>
      <c r="K337" s="140">
        <v>1.2</v>
      </c>
      <c r="L337" s="118" t="s">
        <v>650</v>
      </c>
      <c r="M337" s="147" t="s">
        <v>117</v>
      </c>
      <c r="N337" s="42" t="s">
        <v>76</v>
      </c>
      <c r="O337" s="148" t="s">
        <v>1449</v>
      </c>
      <c r="P337" s="46" t="s">
        <v>104</v>
      </c>
      <c r="Q337" s="46" t="s">
        <v>1450</v>
      </c>
      <c r="R337" s="33" t="s">
        <v>1451</v>
      </c>
      <c r="S337" s="45">
        <f t="shared" si="79"/>
        <v>456049.42</v>
      </c>
      <c r="T337" s="45">
        <v>456049.42</v>
      </c>
      <c r="U337" s="45">
        <v>0</v>
      </c>
      <c r="V337" s="109" t="s">
        <v>1452</v>
      </c>
      <c r="W337" s="63">
        <v>41949</v>
      </c>
      <c r="X337" s="48"/>
      <c r="Y337" s="109" t="s">
        <v>234</v>
      </c>
      <c r="Z337" s="45"/>
      <c r="AA337" s="45"/>
      <c r="AB337" s="45">
        <f t="shared" si="80"/>
        <v>0</v>
      </c>
      <c r="AC337" s="48"/>
      <c r="AD337" s="63"/>
      <c r="AE337" s="51">
        <f t="shared" si="74"/>
        <v>0</v>
      </c>
      <c r="AF337" s="52">
        <f t="shared" si="75"/>
        <v>17592.260000000009</v>
      </c>
      <c r="AG337" s="52">
        <v>438457.16</v>
      </c>
      <c r="AH337" s="52">
        <v>438457.16</v>
      </c>
      <c r="AI337" s="52">
        <f t="shared" si="76"/>
        <v>0</v>
      </c>
      <c r="AJ337" s="124">
        <v>0</v>
      </c>
      <c r="AK337" s="45">
        <v>0</v>
      </c>
      <c r="AL337" s="52">
        <f t="shared" si="82"/>
        <v>0</v>
      </c>
      <c r="AM337" s="52">
        <f t="shared" si="71"/>
        <v>438457.16</v>
      </c>
      <c r="AN337" s="51">
        <f t="shared" si="72"/>
        <v>438457.16</v>
      </c>
      <c r="AO337" s="51">
        <f t="shared" si="83"/>
        <v>0</v>
      </c>
      <c r="AP337" s="125"/>
      <c r="AQ337" s="52"/>
      <c r="AR337" s="51"/>
      <c r="AS337" s="51">
        <f t="shared" si="81"/>
        <v>0</v>
      </c>
      <c r="AT337" s="51">
        <f t="shared" si="77"/>
        <v>17592.260000000009</v>
      </c>
      <c r="AU337" s="48"/>
      <c r="AV337" s="46"/>
    </row>
    <row r="338" spans="1:54" ht="67.5" hidden="1" customHeight="1" x14ac:dyDescent="0.2">
      <c r="A338" s="32">
        <v>636</v>
      </c>
      <c r="B338" s="72" t="s">
        <v>639</v>
      </c>
      <c r="C338" s="116"/>
      <c r="D338" s="107"/>
      <c r="E338" s="46" t="s">
        <v>1453</v>
      </c>
      <c r="F338" s="46"/>
      <c r="G338" s="46"/>
      <c r="H338" s="105"/>
      <c r="I338" s="107">
        <v>6120</v>
      </c>
      <c r="J338" s="107"/>
      <c r="K338" s="39">
        <v>3.3</v>
      </c>
      <c r="L338" s="40" t="s">
        <v>287</v>
      </c>
      <c r="M338" s="147" t="s">
        <v>108</v>
      </c>
      <c r="N338" s="42" t="s">
        <v>63</v>
      </c>
      <c r="O338" s="148"/>
      <c r="P338" s="46" t="s">
        <v>1454</v>
      </c>
      <c r="Q338" s="46" t="s">
        <v>1454</v>
      </c>
      <c r="R338" s="33" t="s">
        <v>1455</v>
      </c>
      <c r="S338" s="45">
        <f t="shared" si="79"/>
        <v>17976091.300000001</v>
      </c>
      <c r="T338" s="45">
        <v>17746609.280000001</v>
      </c>
      <c r="U338" s="45">
        <v>229482.02</v>
      </c>
      <c r="V338" s="67" t="s">
        <v>1456</v>
      </c>
      <c r="W338" s="63"/>
      <c r="X338" s="48"/>
      <c r="Y338" s="109" t="s">
        <v>1457</v>
      </c>
      <c r="Z338" s="45">
        <v>222419.04</v>
      </c>
      <c r="AA338" s="45"/>
      <c r="AB338" s="45">
        <f t="shared" si="80"/>
        <v>222419.04</v>
      </c>
      <c r="AC338" s="48"/>
      <c r="AD338" s="63"/>
      <c r="AE338" s="51">
        <f t="shared" si="74"/>
        <v>7062.9799999999814</v>
      </c>
      <c r="AF338" s="52">
        <f t="shared" si="75"/>
        <v>546203.83000000194</v>
      </c>
      <c r="AG338" s="52">
        <v>17200405.449999999</v>
      </c>
      <c r="AH338" s="52">
        <f>5160121.64+2184175.95-2184175.95+2003498.04</f>
        <v>7163619.6799999997</v>
      </c>
      <c r="AI338" s="52">
        <f t="shared" si="76"/>
        <v>10036785.77</v>
      </c>
      <c r="AJ338" s="124">
        <v>0</v>
      </c>
      <c r="AK338" s="45">
        <v>0</v>
      </c>
      <c r="AL338" s="52">
        <f t="shared" si="82"/>
        <v>0</v>
      </c>
      <c r="AM338" s="52">
        <f t="shared" si="71"/>
        <v>17422824.489999998</v>
      </c>
      <c r="AN338" s="51">
        <f t="shared" si="72"/>
        <v>7163619.6799999997</v>
      </c>
      <c r="AO338" s="51">
        <f t="shared" si="83"/>
        <v>10259204.809999999</v>
      </c>
      <c r="AP338" s="125" t="s">
        <v>1458</v>
      </c>
      <c r="AQ338" s="52">
        <v>4448380.72</v>
      </c>
      <c r="AR338" s="51">
        <v>740208.63</v>
      </c>
      <c r="AS338" s="51">
        <f t="shared" si="81"/>
        <v>3708172.09</v>
      </c>
      <c r="AT338" s="51">
        <f t="shared" si="77"/>
        <v>10812471.620000001</v>
      </c>
      <c r="AU338" s="48"/>
      <c r="AV338" s="46"/>
    </row>
    <row r="339" spans="1:54" ht="64.5" hidden="1" customHeight="1" x14ac:dyDescent="0.2">
      <c r="A339" s="121">
        <v>636</v>
      </c>
      <c r="B339" s="72" t="s">
        <v>285</v>
      </c>
      <c r="C339" s="116"/>
      <c r="D339" s="107"/>
      <c r="E339" s="46" t="s">
        <v>1459</v>
      </c>
      <c r="F339" s="46"/>
      <c r="G339" s="46"/>
      <c r="H339" s="105"/>
      <c r="I339" s="107">
        <v>6120</v>
      </c>
      <c r="J339" s="107"/>
      <c r="K339" s="39" t="s">
        <v>27</v>
      </c>
      <c r="L339" s="40" t="s">
        <v>1460</v>
      </c>
      <c r="M339" s="147" t="s">
        <v>108</v>
      </c>
      <c r="N339" s="42" t="s">
        <v>63</v>
      </c>
      <c r="O339" s="148"/>
      <c r="P339" s="46" t="s">
        <v>1461</v>
      </c>
      <c r="Q339" s="46" t="s">
        <v>1461</v>
      </c>
      <c r="R339" s="33" t="s">
        <v>1462</v>
      </c>
      <c r="S339" s="45">
        <f t="shared" si="79"/>
        <v>4659753.43</v>
      </c>
      <c r="T339" s="45">
        <f>16663494.44-12003741.01</f>
        <v>4659753.43</v>
      </c>
      <c r="U339" s="45">
        <f>215476.22-215476.22</f>
        <v>0</v>
      </c>
      <c r="V339" s="67" t="s">
        <v>1456</v>
      </c>
      <c r="W339" s="63"/>
      <c r="X339" s="48"/>
      <c r="Y339" s="109" t="s">
        <v>1457</v>
      </c>
      <c r="Z339" s="45">
        <f>200851.44-200851.44</f>
        <v>0</v>
      </c>
      <c r="AA339" s="45"/>
      <c r="AB339" s="45">
        <f t="shared" si="80"/>
        <v>0</v>
      </c>
      <c r="AC339" s="48"/>
      <c r="AD339" s="63"/>
      <c r="AE339" s="51">
        <f t="shared" si="74"/>
        <v>0</v>
      </c>
      <c r="AF339" s="52">
        <f t="shared" si="75"/>
        <v>0</v>
      </c>
      <c r="AG339" s="52">
        <f>15532511.45-10872758.02</f>
        <v>4659753.43</v>
      </c>
      <c r="AH339" s="52">
        <v>4659753.43</v>
      </c>
      <c r="AI339" s="52">
        <f t="shared" si="76"/>
        <v>0</v>
      </c>
      <c r="AJ339" s="124">
        <v>0</v>
      </c>
      <c r="AK339" s="45">
        <v>0</v>
      </c>
      <c r="AL339" s="52">
        <f t="shared" si="82"/>
        <v>0</v>
      </c>
      <c r="AM339" s="52">
        <f t="shared" ref="AM339:AM396" si="84">SUM(AG339+Z339)+AJ339</f>
        <v>4659753.43</v>
      </c>
      <c r="AN339" s="51">
        <f t="shared" ref="AN339:AN396" si="85">SUM(AA339+AH339)+AK339</f>
        <v>4659753.43</v>
      </c>
      <c r="AO339" s="51">
        <f t="shared" si="83"/>
        <v>0</v>
      </c>
      <c r="AP339" s="125" t="s">
        <v>1458</v>
      </c>
      <c r="AQ339" s="52">
        <v>4017028.82</v>
      </c>
      <c r="AR339" s="51"/>
      <c r="AS339" s="51">
        <f t="shared" si="81"/>
        <v>4017028.82</v>
      </c>
      <c r="AT339" s="126">
        <f t="shared" si="77"/>
        <v>0</v>
      </c>
      <c r="AU339" s="48"/>
      <c r="AV339" s="46" t="s">
        <v>1463</v>
      </c>
    </row>
    <row r="340" spans="1:54" ht="64.5" hidden="1" customHeight="1" x14ac:dyDescent="0.2">
      <c r="A340" s="121">
        <v>636</v>
      </c>
      <c r="B340" s="72" t="s">
        <v>285</v>
      </c>
      <c r="C340" s="116"/>
      <c r="D340" s="107"/>
      <c r="E340" s="46" t="s">
        <v>1459</v>
      </c>
      <c r="F340" s="46"/>
      <c r="G340" s="46"/>
      <c r="H340" s="105"/>
      <c r="I340" s="107">
        <v>6120</v>
      </c>
      <c r="J340" s="107"/>
      <c r="K340" s="39" t="s">
        <v>27</v>
      </c>
      <c r="L340" s="40" t="s">
        <v>1460</v>
      </c>
      <c r="M340" s="147" t="s">
        <v>108</v>
      </c>
      <c r="N340" s="42" t="s">
        <v>63</v>
      </c>
      <c r="O340" s="148"/>
      <c r="P340" s="46" t="s">
        <v>1461</v>
      </c>
      <c r="Q340" s="46" t="s">
        <v>1461</v>
      </c>
      <c r="R340" s="33" t="s">
        <v>1464</v>
      </c>
      <c r="S340" s="45">
        <f t="shared" si="79"/>
        <v>16878972.66</v>
      </c>
      <c r="T340" s="45">
        <f>16663494.44</f>
        <v>16663494.439999999</v>
      </c>
      <c r="U340" s="45">
        <v>215478.22</v>
      </c>
      <c r="V340" s="67" t="s">
        <v>1456</v>
      </c>
      <c r="W340" s="63">
        <v>41904</v>
      </c>
      <c r="X340" s="48"/>
      <c r="Y340" s="109" t="s">
        <v>1457</v>
      </c>
      <c r="Z340" s="45">
        <v>213814.35</v>
      </c>
      <c r="AA340" s="45"/>
      <c r="AB340" s="45">
        <f t="shared" si="80"/>
        <v>213814.35</v>
      </c>
      <c r="AC340" s="48"/>
      <c r="AD340" s="63"/>
      <c r="AE340" s="51">
        <f t="shared" si="74"/>
        <v>1663.8699999999953</v>
      </c>
      <c r="AF340" s="52">
        <f t="shared" si="75"/>
        <v>128518.3599999994</v>
      </c>
      <c r="AG340" s="52">
        <v>16534976.08</v>
      </c>
      <c r="AH340" s="52">
        <f>4960492.83+1000670.43+2260247.05+243213.26</f>
        <v>8464623.5700000003</v>
      </c>
      <c r="AI340" s="52">
        <f t="shared" ref="AI340" si="86">SUM(AG340-AH340)</f>
        <v>8070352.5099999998</v>
      </c>
      <c r="AJ340" s="124">
        <v>0</v>
      </c>
      <c r="AK340" s="45">
        <v>0</v>
      </c>
      <c r="AL340" s="52">
        <f t="shared" si="82"/>
        <v>0</v>
      </c>
      <c r="AM340" s="52">
        <f t="shared" ref="AM340" si="87">SUM(AG340+Z340)+AJ340</f>
        <v>16748790.43</v>
      </c>
      <c r="AN340" s="51">
        <f t="shared" si="85"/>
        <v>8464623.5700000003</v>
      </c>
      <c r="AO340" s="51">
        <f t="shared" si="83"/>
        <v>8284166.8599999994</v>
      </c>
      <c r="AP340" s="125" t="s">
        <v>1458</v>
      </c>
      <c r="AQ340" s="52">
        <v>4276286.92</v>
      </c>
      <c r="AR340" s="51">
        <f>369705.83+835066.54+89857.11</f>
        <v>1294629.4800000002</v>
      </c>
      <c r="AS340" s="51">
        <f t="shared" si="81"/>
        <v>2981657.4399999995</v>
      </c>
      <c r="AT340" s="51">
        <f t="shared" ref="AT340" si="88">SUM(S340-AN340)</f>
        <v>8414349.0899999999</v>
      </c>
      <c r="AU340" s="48"/>
      <c r="AV340" s="46" t="s">
        <v>27</v>
      </c>
    </row>
    <row r="341" spans="1:54" ht="39.75" hidden="1" customHeight="1" x14ac:dyDescent="0.2">
      <c r="A341" s="32">
        <v>636</v>
      </c>
      <c r="B341" s="122" t="s">
        <v>1465</v>
      </c>
      <c r="C341" s="116"/>
      <c r="D341" s="107">
        <v>613</v>
      </c>
      <c r="E341" s="46" t="s">
        <v>1466</v>
      </c>
      <c r="F341" s="46"/>
      <c r="G341" s="46"/>
      <c r="H341" s="33" t="s">
        <v>809</v>
      </c>
      <c r="I341" s="107">
        <v>6242</v>
      </c>
      <c r="J341" s="107"/>
      <c r="K341" s="39">
        <v>3</v>
      </c>
      <c r="L341" s="118" t="s">
        <v>810</v>
      </c>
      <c r="M341" s="147" t="s">
        <v>117</v>
      </c>
      <c r="N341" s="62" t="s">
        <v>811</v>
      </c>
      <c r="O341" s="148" t="s">
        <v>1467</v>
      </c>
      <c r="P341" s="46" t="s">
        <v>104</v>
      </c>
      <c r="Q341" s="46" t="s">
        <v>1468</v>
      </c>
      <c r="R341" s="33" t="s">
        <v>1469</v>
      </c>
      <c r="S341" s="45">
        <f t="shared" si="79"/>
        <v>1985255.27</v>
      </c>
      <c r="T341" s="45">
        <f>2000000-14744.73</f>
        <v>1985255.27</v>
      </c>
      <c r="U341" s="45">
        <v>0</v>
      </c>
      <c r="V341" s="109" t="s">
        <v>1470</v>
      </c>
      <c r="W341" s="63">
        <v>41953</v>
      </c>
      <c r="X341" s="48"/>
      <c r="Y341" s="109" t="s">
        <v>234</v>
      </c>
      <c r="Z341" s="45"/>
      <c r="AA341" s="45"/>
      <c r="AB341" s="45">
        <f t="shared" si="80"/>
        <v>0</v>
      </c>
      <c r="AC341" s="48"/>
      <c r="AD341" s="63"/>
      <c r="AE341" s="51">
        <f t="shared" ref="AE341:AE402" si="89">U341-Z341</f>
        <v>0</v>
      </c>
      <c r="AF341" s="52">
        <f t="shared" si="75"/>
        <v>0</v>
      </c>
      <c r="AG341" s="52">
        <v>1985255.27</v>
      </c>
      <c r="AH341" s="52">
        <f>992627.64+992627.63</f>
        <v>1985255.27</v>
      </c>
      <c r="AI341" s="52">
        <f t="shared" si="76"/>
        <v>0</v>
      </c>
      <c r="AJ341" s="124">
        <v>0</v>
      </c>
      <c r="AK341" s="45">
        <v>0</v>
      </c>
      <c r="AL341" s="52">
        <f t="shared" si="82"/>
        <v>0</v>
      </c>
      <c r="AM341" s="52">
        <f t="shared" si="84"/>
        <v>1985255.27</v>
      </c>
      <c r="AN341" s="51">
        <f t="shared" si="85"/>
        <v>1985255.27</v>
      </c>
      <c r="AO341" s="51">
        <f t="shared" si="83"/>
        <v>0</v>
      </c>
      <c r="AP341" s="125" t="s">
        <v>872</v>
      </c>
      <c r="AQ341" s="52">
        <v>855713.48</v>
      </c>
      <c r="AR341" s="51">
        <v>855713.48</v>
      </c>
      <c r="AS341" s="51">
        <f t="shared" si="81"/>
        <v>0</v>
      </c>
      <c r="AT341" s="126">
        <f t="shared" si="77"/>
        <v>0</v>
      </c>
      <c r="AU341" s="48"/>
      <c r="AV341" s="46"/>
    </row>
    <row r="342" spans="1:54" ht="26.25" hidden="1" customHeight="1" x14ac:dyDescent="0.2">
      <c r="A342" s="32">
        <v>636</v>
      </c>
      <c r="B342" s="94" t="s">
        <v>1471</v>
      </c>
      <c r="C342" s="116" t="s">
        <v>1472</v>
      </c>
      <c r="D342" s="107"/>
      <c r="E342" s="256" t="s">
        <v>1473</v>
      </c>
      <c r="F342" s="159">
        <v>4488</v>
      </c>
      <c r="G342" s="159"/>
      <c r="H342" s="67" t="s">
        <v>1166</v>
      </c>
      <c r="I342" s="278">
        <v>6211</v>
      </c>
      <c r="J342" s="107">
        <v>2</v>
      </c>
      <c r="K342" s="39">
        <v>6</v>
      </c>
      <c r="L342" s="152" t="s">
        <v>1122</v>
      </c>
      <c r="M342" s="153" t="s">
        <v>1123</v>
      </c>
      <c r="N342" s="42" t="s">
        <v>76</v>
      </c>
      <c r="O342" s="117" t="s">
        <v>88</v>
      </c>
      <c r="P342" s="67" t="s">
        <v>1474</v>
      </c>
      <c r="Q342" s="67" t="s">
        <v>1475</v>
      </c>
      <c r="R342" s="253" t="s">
        <v>1476</v>
      </c>
      <c r="S342" s="52">
        <f t="shared" si="79"/>
        <v>450842.7</v>
      </c>
      <c r="T342" s="52">
        <f>451377.5-534.8</f>
        <v>450842.7</v>
      </c>
      <c r="U342" s="52">
        <v>0</v>
      </c>
      <c r="V342" s="67" t="s">
        <v>1129</v>
      </c>
      <c r="W342" s="143" t="s">
        <v>1130</v>
      </c>
      <c r="X342" s="109"/>
      <c r="Y342" s="109" t="s">
        <v>234</v>
      </c>
      <c r="Z342" s="155"/>
      <c r="AA342" s="155"/>
      <c r="AB342" s="155">
        <f t="shared" si="80"/>
        <v>0</v>
      </c>
      <c r="AC342" s="109"/>
      <c r="AD342" s="154"/>
      <c r="AE342" s="51">
        <f t="shared" si="89"/>
        <v>0</v>
      </c>
      <c r="AF342" s="52">
        <f t="shared" ref="AF342:AF403" si="90">T342-AG342-AJ342</f>
        <v>0</v>
      </c>
      <c r="AG342" s="52">
        <v>450842.7</v>
      </c>
      <c r="AH342" s="52">
        <f>135252.81+315589.89</f>
        <v>450842.7</v>
      </c>
      <c r="AI342" s="52">
        <f t="shared" si="76"/>
        <v>0</v>
      </c>
      <c r="AJ342" s="156">
        <v>0</v>
      </c>
      <c r="AK342" s="155">
        <v>0</v>
      </c>
      <c r="AL342" s="52">
        <f t="shared" si="82"/>
        <v>0</v>
      </c>
      <c r="AM342" s="52">
        <f t="shared" si="84"/>
        <v>450842.7</v>
      </c>
      <c r="AN342" s="51">
        <f t="shared" si="85"/>
        <v>450842.7</v>
      </c>
      <c r="AO342" s="51">
        <f t="shared" si="83"/>
        <v>0</v>
      </c>
      <c r="AP342" s="125" t="s">
        <v>247</v>
      </c>
      <c r="AQ342" s="52">
        <v>116597.25</v>
      </c>
      <c r="AR342" s="51">
        <v>116597.25</v>
      </c>
      <c r="AS342" s="51">
        <f t="shared" si="81"/>
        <v>0</v>
      </c>
      <c r="AT342" s="126">
        <f t="shared" si="77"/>
        <v>0</v>
      </c>
      <c r="AU342" s="109"/>
      <c r="AV342" s="67"/>
      <c r="AW342" s="4"/>
      <c r="AX342" s="4"/>
      <c r="AY342" s="4"/>
      <c r="AZ342" s="4"/>
      <c r="BA342" s="4"/>
      <c r="BB342" s="4"/>
    </row>
    <row r="343" spans="1:54" ht="26.25" hidden="1" customHeight="1" x14ac:dyDescent="0.2">
      <c r="A343" s="32">
        <v>636</v>
      </c>
      <c r="B343" s="94" t="s">
        <v>1471</v>
      </c>
      <c r="C343" s="116" t="s">
        <v>1472</v>
      </c>
      <c r="D343" s="107"/>
      <c r="E343" s="258"/>
      <c r="F343" s="160"/>
      <c r="G343" s="160"/>
      <c r="H343" s="67" t="s">
        <v>1477</v>
      </c>
      <c r="I343" s="278">
        <v>6211</v>
      </c>
      <c r="J343" s="107">
        <v>2</v>
      </c>
      <c r="K343" s="39">
        <v>2</v>
      </c>
      <c r="L343" s="157" t="s">
        <v>61</v>
      </c>
      <c r="M343" s="153" t="s">
        <v>1123</v>
      </c>
      <c r="N343" s="42" t="s">
        <v>76</v>
      </c>
      <c r="O343" s="117" t="s">
        <v>88</v>
      </c>
      <c r="P343" s="67" t="s">
        <v>1474</v>
      </c>
      <c r="Q343" s="67" t="s">
        <v>1475</v>
      </c>
      <c r="R343" s="254"/>
      <c r="S343" s="52">
        <f t="shared" si="79"/>
        <v>451377.5</v>
      </c>
      <c r="T343" s="52">
        <v>451377.5</v>
      </c>
      <c r="U343" s="52">
        <v>0</v>
      </c>
      <c r="V343" s="67" t="s">
        <v>1129</v>
      </c>
      <c r="W343" s="143" t="s">
        <v>1130</v>
      </c>
      <c r="X343" s="109"/>
      <c r="Y343" s="109" t="s">
        <v>234</v>
      </c>
      <c r="Z343" s="155"/>
      <c r="AA343" s="155"/>
      <c r="AB343" s="155">
        <f t="shared" si="80"/>
        <v>0</v>
      </c>
      <c r="AC343" s="109"/>
      <c r="AD343" s="154"/>
      <c r="AE343" s="51">
        <f t="shared" si="89"/>
        <v>0</v>
      </c>
      <c r="AF343" s="52">
        <f t="shared" si="90"/>
        <v>534.79999999998836</v>
      </c>
      <c r="AG343" s="52">
        <v>450842.7</v>
      </c>
      <c r="AH343" s="52">
        <f>135252.81+315589.89</f>
        <v>450842.7</v>
      </c>
      <c r="AI343" s="52">
        <f t="shared" si="76"/>
        <v>0</v>
      </c>
      <c r="AJ343" s="156">
        <v>0</v>
      </c>
      <c r="AK343" s="155">
        <v>0</v>
      </c>
      <c r="AL343" s="52">
        <f t="shared" si="82"/>
        <v>0</v>
      </c>
      <c r="AM343" s="52">
        <f t="shared" si="84"/>
        <v>450842.7</v>
      </c>
      <c r="AN343" s="51">
        <f t="shared" si="85"/>
        <v>450842.7</v>
      </c>
      <c r="AO343" s="51">
        <f t="shared" si="83"/>
        <v>0</v>
      </c>
      <c r="AP343" s="125" t="s">
        <v>247</v>
      </c>
      <c r="AQ343" s="52">
        <v>116597.25</v>
      </c>
      <c r="AR343" s="51">
        <v>116597.25</v>
      </c>
      <c r="AS343" s="51">
        <f t="shared" si="81"/>
        <v>0</v>
      </c>
      <c r="AT343" s="126">
        <f t="shared" si="77"/>
        <v>534.79999999998836</v>
      </c>
      <c r="AU343" s="109"/>
      <c r="AV343" s="67"/>
      <c r="AW343" s="4"/>
      <c r="AX343" s="4"/>
      <c r="AY343" s="4"/>
      <c r="AZ343" s="4"/>
      <c r="BA343" s="4"/>
      <c r="BB343" s="4"/>
    </row>
    <row r="344" spans="1:54" ht="26.25" hidden="1" customHeight="1" x14ac:dyDescent="0.2">
      <c r="A344" s="32">
        <v>636</v>
      </c>
      <c r="B344" s="94" t="s">
        <v>1478</v>
      </c>
      <c r="C344" s="116" t="s">
        <v>1479</v>
      </c>
      <c r="D344" s="107"/>
      <c r="E344" s="256" t="s">
        <v>1480</v>
      </c>
      <c r="F344" s="159">
        <v>4488</v>
      </c>
      <c r="G344" s="159"/>
      <c r="H344" s="67" t="s">
        <v>1166</v>
      </c>
      <c r="I344" s="158">
        <v>6211</v>
      </c>
      <c r="J344" s="107">
        <v>2</v>
      </c>
      <c r="K344" s="39">
        <v>6</v>
      </c>
      <c r="L344" s="152" t="s">
        <v>1122</v>
      </c>
      <c r="M344" s="153" t="s">
        <v>1123</v>
      </c>
      <c r="N344" s="42" t="s">
        <v>76</v>
      </c>
      <c r="O344" s="117" t="s">
        <v>88</v>
      </c>
      <c r="P344" s="67" t="s">
        <v>104</v>
      </c>
      <c r="Q344" s="67" t="s">
        <v>1481</v>
      </c>
      <c r="R344" s="254"/>
      <c r="S344" s="52">
        <f t="shared" si="79"/>
        <v>676264.05</v>
      </c>
      <c r="T344" s="52">
        <f>677066.25-802.2</f>
        <v>676264.05</v>
      </c>
      <c r="U344" s="52">
        <v>0</v>
      </c>
      <c r="V344" s="109" t="s">
        <v>1125</v>
      </c>
      <c r="W344" s="154">
        <v>41929</v>
      </c>
      <c r="X344" s="109"/>
      <c r="Y344" s="109" t="s">
        <v>234</v>
      </c>
      <c r="Z344" s="155"/>
      <c r="AA344" s="155"/>
      <c r="AB344" s="155">
        <f t="shared" si="80"/>
        <v>0</v>
      </c>
      <c r="AC344" s="109"/>
      <c r="AD344" s="154"/>
      <c r="AE344" s="51">
        <f t="shared" si="89"/>
        <v>0</v>
      </c>
      <c r="AF344" s="52">
        <f t="shared" si="90"/>
        <v>0</v>
      </c>
      <c r="AG344" s="52">
        <v>676264.05</v>
      </c>
      <c r="AH344" s="52">
        <f>202879.22+473384.83</f>
        <v>676264.05</v>
      </c>
      <c r="AI344" s="52">
        <f t="shared" si="76"/>
        <v>0</v>
      </c>
      <c r="AJ344" s="156">
        <v>0</v>
      </c>
      <c r="AK344" s="155">
        <v>0</v>
      </c>
      <c r="AL344" s="52">
        <f t="shared" si="82"/>
        <v>0</v>
      </c>
      <c r="AM344" s="52">
        <f t="shared" si="84"/>
        <v>676264.05</v>
      </c>
      <c r="AN344" s="51">
        <f t="shared" si="85"/>
        <v>676264.05</v>
      </c>
      <c r="AO344" s="51">
        <f t="shared" si="83"/>
        <v>0</v>
      </c>
      <c r="AP344" s="125" t="s">
        <v>247</v>
      </c>
      <c r="AQ344" s="52">
        <v>174895.88</v>
      </c>
      <c r="AR344" s="51">
        <v>174895.88</v>
      </c>
      <c r="AS344" s="51">
        <f t="shared" si="81"/>
        <v>0</v>
      </c>
      <c r="AT344" s="126">
        <f t="shared" si="77"/>
        <v>0</v>
      </c>
      <c r="AU344" s="109"/>
      <c r="AV344" s="67"/>
      <c r="AW344" s="4"/>
      <c r="AX344" s="4"/>
      <c r="AY344" s="4"/>
      <c r="AZ344" s="4"/>
      <c r="BA344" s="4"/>
      <c r="BB344" s="4"/>
    </row>
    <row r="345" spans="1:54" ht="26.25" hidden="1" customHeight="1" x14ac:dyDescent="0.2">
      <c r="A345" s="32">
        <v>636</v>
      </c>
      <c r="B345" s="94" t="s">
        <v>1478</v>
      </c>
      <c r="C345" s="116" t="s">
        <v>1479</v>
      </c>
      <c r="D345" s="107"/>
      <c r="E345" s="258"/>
      <c r="F345" s="160"/>
      <c r="G345" s="160"/>
      <c r="H345" s="67" t="s">
        <v>60</v>
      </c>
      <c r="I345" s="158">
        <v>6211</v>
      </c>
      <c r="J345" s="107">
        <v>2</v>
      </c>
      <c r="K345" s="39">
        <v>2</v>
      </c>
      <c r="L345" s="157" t="s">
        <v>61</v>
      </c>
      <c r="M345" s="153" t="s">
        <v>1123</v>
      </c>
      <c r="N345" s="42" t="s">
        <v>76</v>
      </c>
      <c r="O345" s="117" t="s">
        <v>88</v>
      </c>
      <c r="P345" s="67" t="s">
        <v>104</v>
      </c>
      <c r="Q345" s="67" t="s">
        <v>1481</v>
      </c>
      <c r="R345" s="254"/>
      <c r="S345" s="52">
        <f t="shared" si="79"/>
        <v>677066.25</v>
      </c>
      <c r="T345" s="52">
        <v>677066.25</v>
      </c>
      <c r="U345" s="52">
        <v>0</v>
      </c>
      <c r="V345" s="67" t="s">
        <v>1129</v>
      </c>
      <c r="W345" s="143" t="s">
        <v>1130</v>
      </c>
      <c r="X345" s="109"/>
      <c r="Y345" s="109" t="s">
        <v>234</v>
      </c>
      <c r="Z345" s="155"/>
      <c r="AA345" s="155"/>
      <c r="AB345" s="155">
        <f t="shared" si="80"/>
        <v>0</v>
      </c>
      <c r="AC345" s="109"/>
      <c r="AD345" s="154"/>
      <c r="AE345" s="51">
        <f t="shared" si="89"/>
        <v>0</v>
      </c>
      <c r="AF345" s="52">
        <f t="shared" si="90"/>
        <v>802.19999999995343</v>
      </c>
      <c r="AG345" s="52">
        <v>676264.05</v>
      </c>
      <c r="AH345" s="52">
        <f>202879.21+473384.84</f>
        <v>676264.05</v>
      </c>
      <c r="AI345" s="52">
        <f t="shared" si="76"/>
        <v>0</v>
      </c>
      <c r="AJ345" s="156">
        <v>0</v>
      </c>
      <c r="AK345" s="155">
        <v>0</v>
      </c>
      <c r="AL345" s="52">
        <f t="shared" si="82"/>
        <v>0</v>
      </c>
      <c r="AM345" s="52">
        <f t="shared" si="84"/>
        <v>676264.05</v>
      </c>
      <c r="AN345" s="51">
        <f t="shared" si="85"/>
        <v>676264.05</v>
      </c>
      <c r="AO345" s="51">
        <f t="shared" si="83"/>
        <v>0</v>
      </c>
      <c r="AP345" s="125" t="s">
        <v>247</v>
      </c>
      <c r="AQ345" s="52">
        <v>174895.86</v>
      </c>
      <c r="AR345" s="51">
        <v>174895.86</v>
      </c>
      <c r="AS345" s="51">
        <f t="shared" si="81"/>
        <v>0</v>
      </c>
      <c r="AT345" s="126">
        <f t="shared" si="77"/>
        <v>802.19999999995343</v>
      </c>
      <c r="AU345" s="109"/>
      <c r="AV345" s="67"/>
      <c r="AW345" s="4"/>
      <c r="AX345" s="4"/>
      <c r="AY345" s="4"/>
      <c r="AZ345" s="4"/>
      <c r="BA345" s="4"/>
      <c r="BB345" s="4"/>
    </row>
    <row r="346" spans="1:54" ht="26.25" hidden="1" customHeight="1" x14ac:dyDescent="0.2">
      <c r="A346" s="32">
        <v>636</v>
      </c>
      <c r="B346" s="94" t="s">
        <v>1482</v>
      </c>
      <c r="C346" s="116" t="s">
        <v>1483</v>
      </c>
      <c r="D346" s="107"/>
      <c r="E346" s="256" t="s">
        <v>1484</v>
      </c>
      <c r="F346" s="159">
        <v>4488</v>
      </c>
      <c r="G346" s="159"/>
      <c r="H346" s="67" t="s">
        <v>1166</v>
      </c>
      <c r="I346" s="158">
        <v>6211</v>
      </c>
      <c r="J346" s="107">
        <v>2</v>
      </c>
      <c r="K346" s="39">
        <v>6</v>
      </c>
      <c r="L346" s="152" t="s">
        <v>1122</v>
      </c>
      <c r="M346" s="153" t="s">
        <v>1123</v>
      </c>
      <c r="N346" s="42" t="s">
        <v>76</v>
      </c>
      <c r="O346" s="117" t="s">
        <v>88</v>
      </c>
      <c r="P346" s="67" t="s">
        <v>428</v>
      </c>
      <c r="Q346" s="67" t="s">
        <v>979</v>
      </c>
      <c r="R346" s="254"/>
      <c r="S346" s="52">
        <f t="shared" si="79"/>
        <v>338132.03</v>
      </c>
      <c r="T346" s="52">
        <f>338533.13-401.1</f>
        <v>338132.03</v>
      </c>
      <c r="U346" s="52">
        <v>0</v>
      </c>
      <c r="V346" s="109" t="s">
        <v>1125</v>
      </c>
      <c r="W346" s="154">
        <v>41929</v>
      </c>
      <c r="X346" s="109"/>
      <c r="Y346" s="109" t="s">
        <v>234</v>
      </c>
      <c r="Z346" s="155"/>
      <c r="AA346" s="155"/>
      <c r="AB346" s="155">
        <f t="shared" si="80"/>
        <v>0</v>
      </c>
      <c r="AC346" s="109"/>
      <c r="AD346" s="154"/>
      <c r="AE346" s="51">
        <f t="shared" si="89"/>
        <v>0</v>
      </c>
      <c r="AF346" s="52">
        <f t="shared" si="90"/>
        <v>0</v>
      </c>
      <c r="AG346" s="52">
        <v>338132.03</v>
      </c>
      <c r="AH346" s="52">
        <f>101439.61+236692.42</f>
        <v>338132.03</v>
      </c>
      <c r="AI346" s="52">
        <f t="shared" si="76"/>
        <v>0</v>
      </c>
      <c r="AJ346" s="156">
        <v>0</v>
      </c>
      <c r="AK346" s="155">
        <v>0</v>
      </c>
      <c r="AL346" s="52">
        <f t="shared" si="82"/>
        <v>0</v>
      </c>
      <c r="AM346" s="52">
        <f t="shared" si="84"/>
        <v>338132.03</v>
      </c>
      <c r="AN346" s="51">
        <f t="shared" si="85"/>
        <v>338132.03</v>
      </c>
      <c r="AO346" s="51">
        <f t="shared" si="83"/>
        <v>0</v>
      </c>
      <c r="AP346" s="125" t="s">
        <v>247</v>
      </c>
      <c r="AQ346" s="52">
        <v>87447.94</v>
      </c>
      <c r="AR346" s="51">
        <v>87447.94</v>
      </c>
      <c r="AS346" s="51">
        <f t="shared" si="81"/>
        <v>0</v>
      </c>
      <c r="AT346" s="126">
        <f t="shared" si="77"/>
        <v>0</v>
      </c>
      <c r="AU346" s="109"/>
      <c r="AV346" s="67"/>
      <c r="AW346" s="4"/>
      <c r="AX346" s="4"/>
      <c r="AY346" s="4"/>
      <c r="AZ346" s="4"/>
      <c r="BA346" s="4"/>
      <c r="BB346" s="4"/>
    </row>
    <row r="347" spans="1:54" ht="26.25" hidden="1" customHeight="1" x14ac:dyDescent="0.2">
      <c r="A347" s="32">
        <v>636</v>
      </c>
      <c r="B347" s="94" t="s">
        <v>1482</v>
      </c>
      <c r="C347" s="116" t="s">
        <v>1483</v>
      </c>
      <c r="D347" s="107"/>
      <c r="E347" s="258"/>
      <c r="F347" s="160"/>
      <c r="G347" s="160"/>
      <c r="H347" s="67" t="s">
        <v>60</v>
      </c>
      <c r="I347" s="158">
        <v>6211</v>
      </c>
      <c r="J347" s="107">
        <v>2</v>
      </c>
      <c r="K347" s="39">
        <v>2</v>
      </c>
      <c r="L347" s="157" t="s">
        <v>61</v>
      </c>
      <c r="M347" s="153" t="s">
        <v>1123</v>
      </c>
      <c r="N347" s="42" t="s">
        <v>76</v>
      </c>
      <c r="O347" s="117" t="s">
        <v>88</v>
      </c>
      <c r="P347" s="67" t="s">
        <v>428</v>
      </c>
      <c r="Q347" s="67" t="s">
        <v>979</v>
      </c>
      <c r="R347" s="255"/>
      <c r="S347" s="52">
        <f t="shared" si="79"/>
        <v>338533.12</v>
      </c>
      <c r="T347" s="52">
        <v>338533.12</v>
      </c>
      <c r="U347" s="52">
        <v>0</v>
      </c>
      <c r="V347" s="67" t="s">
        <v>1129</v>
      </c>
      <c r="W347" s="143" t="s">
        <v>1130</v>
      </c>
      <c r="X347" s="109"/>
      <c r="Y347" s="109" t="s">
        <v>234</v>
      </c>
      <c r="Z347" s="155"/>
      <c r="AA347" s="155"/>
      <c r="AB347" s="155">
        <f t="shared" si="80"/>
        <v>0</v>
      </c>
      <c r="AC347" s="109"/>
      <c r="AD347" s="154"/>
      <c r="AE347" s="51">
        <f t="shared" si="89"/>
        <v>0</v>
      </c>
      <c r="AF347" s="52">
        <f t="shared" si="90"/>
        <v>401.09999999997672</v>
      </c>
      <c r="AG347" s="52">
        <v>338132.02</v>
      </c>
      <c r="AH347" s="52">
        <f>101439.61+236692.41</f>
        <v>338132.02</v>
      </c>
      <c r="AI347" s="52">
        <f t="shared" si="76"/>
        <v>0</v>
      </c>
      <c r="AJ347" s="156">
        <v>0</v>
      </c>
      <c r="AK347" s="155">
        <v>0</v>
      </c>
      <c r="AL347" s="52">
        <f t="shared" si="82"/>
        <v>0</v>
      </c>
      <c r="AM347" s="52">
        <f t="shared" si="84"/>
        <v>338132.02</v>
      </c>
      <c r="AN347" s="51">
        <f t="shared" si="85"/>
        <v>338132.02</v>
      </c>
      <c r="AO347" s="51">
        <f t="shared" si="83"/>
        <v>0</v>
      </c>
      <c r="AP347" s="125" t="s">
        <v>247</v>
      </c>
      <c r="AQ347" s="52">
        <v>87447.94</v>
      </c>
      <c r="AR347" s="51">
        <v>87447.94</v>
      </c>
      <c r="AS347" s="51">
        <f t="shared" si="81"/>
        <v>0</v>
      </c>
      <c r="AT347" s="126">
        <f t="shared" si="77"/>
        <v>401.09999999997672</v>
      </c>
      <c r="AU347" s="109"/>
      <c r="AV347" s="67"/>
      <c r="AW347" s="4"/>
      <c r="AX347" s="4"/>
      <c r="AY347" s="4"/>
      <c r="AZ347" s="4"/>
      <c r="BA347" s="4"/>
      <c r="BB347" s="4"/>
    </row>
    <row r="348" spans="1:54" ht="26.25" hidden="1" customHeight="1" x14ac:dyDescent="0.2">
      <c r="A348" s="151">
        <v>639</v>
      </c>
      <c r="B348" s="122" t="s">
        <v>1485</v>
      </c>
      <c r="C348" s="116"/>
      <c r="D348" s="107">
        <v>495</v>
      </c>
      <c r="E348" s="46" t="s">
        <v>1486</v>
      </c>
      <c r="F348" s="46"/>
      <c r="G348" s="46" t="s">
        <v>951</v>
      </c>
      <c r="H348" s="33" t="s">
        <v>576</v>
      </c>
      <c r="I348" s="107">
        <v>6222</v>
      </c>
      <c r="J348" s="107"/>
      <c r="K348" s="39">
        <v>2.2999999999999998</v>
      </c>
      <c r="L348" s="40" t="s">
        <v>1487</v>
      </c>
      <c r="M348" s="147" t="s">
        <v>75</v>
      </c>
      <c r="N348" s="42" t="s">
        <v>76</v>
      </c>
      <c r="O348" s="41" t="s">
        <v>77</v>
      </c>
      <c r="P348" s="46" t="s">
        <v>104</v>
      </c>
      <c r="Q348" s="46" t="s">
        <v>1481</v>
      </c>
      <c r="R348" s="33" t="s">
        <v>1488</v>
      </c>
      <c r="S348" s="45">
        <f t="shared" si="79"/>
        <v>404307.46</v>
      </c>
      <c r="T348" s="45">
        <v>404307.46</v>
      </c>
      <c r="U348" s="45">
        <v>0</v>
      </c>
      <c r="V348" s="109" t="s">
        <v>1489</v>
      </c>
      <c r="W348" s="63">
        <v>41953</v>
      </c>
      <c r="X348" s="48"/>
      <c r="Y348" s="109" t="s">
        <v>234</v>
      </c>
      <c r="Z348" s="45"/>
      <c r="AA348" s="45"/>
      <c r="AB348" s="45">
        <f t="shared" si="80"/>
        <v>0</v>
      </c>
      <c r="AC348" s="48"/>
      <c r="AD348" s="63"/>
      <c r="AE348" s="51">
        <f t="shared" si="89"/>
        <v>0</v>
      </c>
      <c r="AF348" s="52">
        <f t="shared" si="90"/>
        <v>2143.6700000000419</v>
      </c>
      <c r="AG348" s="52">
        <v>402163.79</v>
      </c>
      <c r="AH348" s="52">
        <f>120649.14+182182.36+94119.99+5212.3</f>
        <v>402163.79</v>
      </c>
      <c r="AI348" s="52">
        <f t="shared" si="76"/>
        <v>0</v>
      </c>
      <c r="AJ348" s="124">
        <v>0</v>
      </c>
      <c r="AK348" s="45">
        <v>0</v>
      </c>
      <c r="AL348" s="52">
        <f t="shared" si="82"/>
        <v>0</v>
      </c>
      <c r="AM348" s="52">
        <f t="shared" si="84"/>
        <v>402163.79</v>
      </c>
      <c r="AN348" s="51">
        <f t="shared" si="85"/>
        <v>402163.79</v>
      </c>
      <c r="AO348" s="51">
        <f t="shared" si="83"/>
        <v>0</v>
      </c>
      <c r="AP348" s="125" t="s">
        <v>333</v>
      </c>
      <c r="AQ348" s="52">
        <v>104007.88</v>
      </c>
      <c r="AR348" s="51">
        <f>67308.76+34773.4+1925.72</f>
        <v>104007.88</v>
      </c>
      <c r="AS348" s="51">
        <f t="shared" si="81"/>
        <v>0</v>
      </c>
      <c r="AT348" s="126">
        <f t="shared" si="77"/>
        <v>2143.6700000000419</v>
      </c>
      <c r="AU348" s="48"/>
      <c r="AV348" s="46"/>
    </row>
    <row r="349" spans="1:54" ht="25.5" hidden="1" customHeight="1" x14ac:dyDescent="0.2">
      <c r="A349" s="32">
        <v>636</v>
      </c>
      <c r="B349" s="94" t="s">
        <v>1490</v>
      </c>
      <c r="C349" s="116" t="s">
        <v>1491</v>
      </c>
      <c r="D349" s="107">
        <v>548</v>
      </c>
      <c r="E349" s="256" t="s">
        <v>1302</v>
      </c>
      <c r="F349" s="159"/>
      <c r="G349" s="159">
        <v>1</v>
      </c>
      <c r="H349" s="67" t="s">
        <v>1166</v>
      </c>
      <c r="I349" s="158">
        <v>6226</v>
      </c>
      <c r="J349" s="107">
        <v>2</v>
      </c>
      <c r="K349" s="39">
        <v>6</v>
      </c>
      <c r="L349" s="152" t="s">
        <v>1122</v>
      </c>
      <c r="M349" s="153" t="s">
        <v>108</v>
      </c>
      <c r="N349" s="42" t="s">
        <v>76</v>
      </c>
      <c r="O349" s="117" t="s">
        <v>88</v>
      </c>
      <c r="P349" s="67" t="s">
        <v>89</v>
      </c>
      <c r="Q349" s="67" t="s">
        <v>1492</v>
      </c>
      <c r="R349" s="253" t="s">
        <v>1493</v>
      </c>
      <c r="S349" s="52">
        <f t="shared" si="79"/>
        <v>58632.5</v>
      </c>
      <c r="T349" s="52">
        <v>58632.5</v>
      </c>
      <c r="U349" s="52">
        <v>0</v>
      </c>
      <c r="V349" s="109" t="s">
        <v>1240</v>
      </c>
      <c r="W349" s="154">
        <v>41941</v>
      </c>
      <c r="X349" s="109"/>
      <c r="Y349" s="109" t="s">
        <v>234</v>
      </c>
      <c r="Z349" s="155"/>
      <c r="AA349" s="155"/>
      <c r="AB349" s="155">
        <f t="shared" si="80"/>
        <v>0</v>
      </c>
      <c r="AC349" s="109"/>
      <c r="AD349" s="154"/>
      <c r="AE349" s="51">
        <f t="shared" si="89"/>
        <v>0</v>
      </c>
      <c r="AF349" s="52">
        <f t="shared" si="90"/>
        <v>48.419999999998254</v>
      </c>
      <c r="AG349" s="52">
        <v>58584.08</v>
      </c>
      <c r="AH349" s="52">
        <f>29292.04+29292.04</f>
        <v>58584.08</v>
      </c>
      <c r="AI349" s="52">
        <f t="shared" si="76"/>
        <v>0</v>
      </c>
      <c r="AJ349" s="163">
        <v>0</v>
      </c>
      <c r="AK349" s="52">
        <v>0</v>
      </c>
      <c r="AL349" s="52">
        <f t="shared" si="82"/>
        <v>0</v>
      </c>
      <c r="AM349" s="52">
        <f t="shared" si="84"/>
        <v>58584.08</v>
      </c>
      <c r="AN349" s="51">
        <f t="shared" si="85"/>
        <v>58584.08</v>
      </c>
      <c r="AO349" s="51">
        <f t="shared" si="83"/>
        <v>0</v>
      </c>
      <c r="AP349" s="125" t="s">
        <v>146</v>
      </c>
      <c r="AQ349" s="52">
        <v>25251.759999999998</v>
      </c>
      <c r="AR349" s="52">
        <v>25251.759999999998</v>
      </c>
      <c r="AS349" s="51">
        <f t="shared" si="81"/>
        <v>0</v>
      </c>
      <c r="AT349" s="126">
        <f t="shared" si="77"/>
        <v>48.419999999998254</v>
      </c>
      <c r="AU349" s="109"/>
      <c r="AV349" s="67"/>
      <c r="AW349" s="4"/>
      <c r="AX349" s="4"/>
      <c r="AY349" s="4"/>
      <c r="AZ349" s="4"/>
      <c r="BA349" s="4"/>
      <c r="BB349" s="4"/>
    </row>
    <row r="350" spans="1:54" ht="25.5" hidden="1" customHeight="1" x14ac:dyDescent="0.2">
      <c r="A350" s="32">
        <v>636</v>
      </c>
      <c r="B350" s="94" t="s">
        <v>1490</v>
      </c>
      <c r="C350" s="116" t="s">
        <v>1491</v>
      </c>
      <c r="D350" s="107">
        <v>549</v>
      </c>
      <c r="E350" s="258"/>
      <c r="F350" s="160"/>
      <c r="G350" s="160">
        <v>1</v>
      </c>
      <c r="H350" s="67" t="s">
        <v>60</v>
      </c>
      <c r="I350" s="158">
        <v>6226</v>
      </c>
      <c r="J350" s="107">
        <v>2</v>
      </c>
      <c r="K350" s="39">
        <v>2</v>
      </c>
      <c r="L350" s="157" t="s">
        <v>61</v>
      </c>
      <c r="M350" s="153" t="s">
        <v>108</v>
      </c>
      <c r="N350" s="42" t="s">
        <v>76</v>
      </c>
      <c r="O350" s="117" t="s">
        <v>88</v>
      </c>
      <c r="P350" s="67" t="s">
        <v>89</v>
      </c>
      <c r="Q350" s="67" t="s">
        <v>1492</v>
      </c>
      <c r="R350" s="254"/>
      <c r="S350" s="52">
        <f t="shared" si="79"/>
        <v>58632.5</v>
      </c>
      <c r="T350" s="52">
        <v>58632.5</v>
      </c>
      <c r="U350" s="52">
        <v>0</v>
      </c>
      <c r="V350" s="109" t="s">
        <v>1240</v>
      </c>
      <c r="W350" s="154">
        <v>41941</v>
      </c>
      <c r="X350" s="109"/>
      <c r="Y350" s="109" t="s">
        <v>234</v>
      </c>
      <c r="Z350" s="155"/>
      <c r="AA350" s="155"/>
      <c r="AB350" s="155">
        <f t="shared" si="80"/>
        <v>0</v>
      </c>
      <c r="AC350" s="109"/>
      <c r="AD350" s="154"/>
      <c r="AE350" s="51">
        <f t="shared" si="89"/>
        <v>0</v>
      </c>
      <c r="AF350" s="52">
        <f t="shared" si="90"/>
        <v>48.430000000000291</v>
      </c>
      <c r="AG350" s="52">
        <v>58584.07</v>
      </c>
      <c r="AH350" s="52">
        <f>29292.04+29292.03</f>
        <v>58584.07</v>
      </c>
      <c r="AI350" s="52">
        <f t="shared" si="76"/>
        <v>0</v>
      </c>
      <c r="AJ350" s="156">
        <v>0</v>
      </c>
      <c r="AK350" s="155">
        <v>0</v>
      </c>
      <c r="AL350" s="52">
        <f t="shared" si="82"/>
        <v>0</v>
      </c>
      <c r="AM350" s="52">
        <f t="shared" si="84"/>
        <v>58584.07</v>
      </c>
      <c r="AN350" s="51">
        <f t="shared" si="85"/>
        <v>58584.07</v>
      </c>
      <c r="AO350" s="51">
        <f t="shared" si="83"/>
        <v>0</v>
      </c>
      <c r="AP350" s="125" t="s">
        <v>146</v>
      </c>
      <c r="AQ350" s="52">
        <v>25251.759999999998</v>
      </c>
      <c r="AR350" s="52">
        <v>25251.759999999998</v>
      </c>
      <c r="AS350" s="51">
        <f t="shared" si="81"/>
        <v>0</v>
      </c>
      <c r="AT350" s="126">
        <f t="shared" si="77"/>
        <v>48.430000000000291</v>
      </c>
      <c r="AU350" s="109"/>
      <c r="AV350" s="67"/>
      <c r="AW350" s="4"/>
      <c r="AX350" s="4"/>
      <c r="AY350" s="4"/>
      <c r="AZ350" s="4"/>
      <c r="BA350" s="4"/>
      <c r="BB350" s="4"/>
    </row>
    <row r="351" spans="1:54" ht="25.5" hidden="1" customHeight="1" x14ac:dyDescent="0.2">
      <c r="A351" s="32">
        <v>636</v>
      </c>
      <c r="B351" s="94" t="s">
        <v>1494</v>
      </c>
      <c r="C351" s="116" t="s">
        <v>1495</v>
      </c>
      <c r="D351" s="107">
        <v>584</v>
      </c>
      <c r="E351" s="256" t="s">
        <v>1302</v>
      </c>
      <c r="F351" s="159"/>
      <c r="G351" s="159">
        <v>1</v>
      </c>
      <c r="H351" s="67" t="s">
        <v>1166</v>
      </c>
      <c r="I351" s="158">
        <v>6226</v>
      </c>
      <c r="J351" s="107">
        <v>2</v>
      </c>
      <c r="K351" s="39">
        <v>6</v>
      </c>
      <c r="L351" s="152" t="s">
        <v>1122</v>
      </c>
      <c r="M351" s="153" t="s">
        <v>108</v>
      </c>
      <c r="N351" s="42" t="s">
        <v>76</v>
      </c>
      <c r="O351" s="117" t="s">
        <v>88</v>
      </c>
      <c r="P351" s="67" t="s">
        <v>89</v>
      </c>
      <c r="Q351" s="67" t="s">
        <v>1496</v>
      </c>
      <c r="R351" s="254"/>
      <c r="S351" s="52">
        <f t="shared" si="79"/>
        <v>58632.5</v>
      </c>
      <c r="T351" s="52">
        <v>58632.5</v>
      </c>
      <c r="U351" s="52">
        <v>0</v>
      </c>
      <c r="V351" s="109" t="s">
        <v>1240</v>
      </c>
      <c r="W351" s="154">
        <v>41941</v>
      </c>
      <c r="X351" s="109"/>
      <c r="Y351" s="109" t="s">
        <v>234</v>
      </c>
      <c r="Z351" s="155"/>
      <c r="AA351" s="155"/>
      <c r="AB351" s="155">
        <f t="shared" si="80"/>
        <v>0</v>
      </c>
      <c r="AC351" s="109"/>
      <c r="AD351" s="154"/>
      <c r="AE351" s="51">
        <f t="shared" si="89"/>
        <v>0</v>
      </c>
      <c r="AF351" s="52">
        <f t="shared" si="90"/>
        <v>48.419999999998254</v>
      </c>
      <c r="AG351" s="52">
        <v>58584.08</v>
      </c>
      <c r="AH351" s="52">
        <f>29292.04+29292.04</f>
        <v>58584.08</v>
      </c>
      <c r="AI351" s="52">
        <f t="shared" ref="AI351:AI409" si="91">SUM(AG351-AH351)</f>
        <v>0</v>
      </c>
      <c r="AJ351" s="163">
        <v>0</v>
      </c>
      <c r="AK351" s="52">
        <v>0</v>
      </c>
      <c r="AL351" s="52">
        <f t="shared" si="82"/>
        <v>0</v>
      </c>
      <c r="AM351" s="52">
        <f t="shared" si="84"/>
        <v>58584.08</v>
      </c>
      <c r="AN351" s="51">
        <f t="shared" si="85"/>
        <v>58584.08</v>
      </c>
      <c r="AO351" s="51">
        <f t="shared" si="83"/>
        <v>0</v>
      </c>
      <c r="AP351" s="125" t="s">
        <v>146</v>
      </c>
      <c r="AQ351" s="52">
        <v>25251.759999999998</v>
      </c>
      <c r="AR351" s="52">
        <v>25251.759999999998</v>
      </c>
      <c r="AS351" s="51">
        <f t="shared" si="81"/>
        <v>0</v>
      </c>
      <c r="AT351" s="126">
        <f t="shared" ref="AT351:AT409" si="92">SUM(S351-AN351)</f>
        <v>48.419999999998254</v>
      </c>
      <c r="AU351" s="109"/>
      <c r="AV351" s="67"/>
      <c r="AW351" s="4"/>
      <c r="AX351" s="4"/>
      <c r="AY351" s="4"/>
      <c r="AZ351" s="4"/>
      <c r="BA351" s="4"/>
      <c r="BB351" s="4"/>
    </row>
    <row r="352" spans="1:54" ht="25.5" hidden="1" customHeight="1" x14ac:dyDescent="0.2">
      <c r="A352" s="32">
        <v>636</v>
      </c>
      <c r="B352" s="94" t="s">
        <v>1494</v>
      </c>
      <c r="C352" s="116" t="s">
        <v>1495</v>
      </c>
      <c r="D352" s="107">
        <v>585</v>
      </c>
      <c r="E352" s="258"/>
      <c r="F352" s="160"/>
      <c r="G352" s="160">
        <v>1</v>
      </c>
      <c r="H352" s="67" t="s">
        <v>60</v>
      </c>
      <c r="I352" s="158">
        <v>6226</v>
      </c>
      <c r="J352" s="107">
        <v>2</v>
      </c>
      <c r="K352" s="39">
        <v>2</v>
      </c>
      <c r="L352" s="157" t="s">
        <v>61</v>
      </c>
      <c r="M352" s="153" t="s">
        <v>108</v>
      </c>
      <c r="N352" s="42" t="s">
        <v>76</v>
      </c>
      <c r="O352" s="117" t="s">
        <v>88</v>
      </c>
      <c r="P352" s="67" t="s">
        <v>89</v>
      </c>
      <c r="Q352" s="67" t="s">
        <v>1496</v>
      </c>
      <c r="R352" s="254"/>
      <c r="S352" s="52">
        <f t="shared" si="79"/>
        <v>58632.5</v>
      </c>
      <c r="T352" s="52">
        <v>58632.5</v>
      </c>
      <c r="U352" s="52">
        <v>0</v>
      </c>
      <c r="V352" s="109" t="s">
        <v>1240</v>
      </c>
      <c r="W352" s="154">
        <v>41941</v>
      </c>
      <c r="X352" s="109"/>
      <c r="Y352" s="109" t="s">
        <v>234</v>
      </c>
      <c r="Z352" s="155"/>
      <c r="AA352" s="155"/>
      <c r="AB352" s="155">
        <f t="shared" si="80"/>
        <v>0</v>
      </c>
      <c r="AC352" s="109"/>
      <c r="AD352" s="154"/>
      <c r="AE352" s="51">
        <f t="shared" si="89"/>
        <v>0</v>
      </c>
      <c r="AF352" s="52">
        <f t="shared" si="90"/>
        <v>48.430000000000291</v>
      </c>
      <c r="AG352" s="52">
        <v>58584.07</v>
      </c>
      <c r="AH352" s="52">
        <f>29292.04+29292.03</f>
        <v>58584.07</v>
      </c>
      <c r="AI352" s="52">
        <f t="shared" si="91"/>
        <v>0</v>
      </c>
      <c r="AJ352" s="156">
        <v>0</v>
      </c>
      <c r="AK352" s="155">
        <v>0</v>
      </c>
      <c r="AL352" s="52">
        <f t="shared" si="82"/>
        <v>0</v>
      </c>
      <c r="AM352" s="52">
        <f t="shared" si="84"/>
        <v>58584.07</v>
      </c>
      <c r="AN352" s="51">
        <f t="shared" si="85"/>
        <v>58584.07</v>
      </c>
      <c r="AO352" s="51">
        <f t="shared" si="83"/>
        <v>0</v>
      </c>
      <c r="AP352" s="125" t="s">
        <v>146</v>
      </c>
      <c r="AQ352" s="52">
        <v>25251.759999999998</v>
      </c>
      <c r="AR352" s="52">
        <v>25251.759999999998</v>
      </c>
      <c r="AS352" s="51">
        <f t="shared" si="81"/>
        <v>0</v>
      </c>
      <c r="AT352" s="126">
        <f t="shared" si="92"/>
        <v>48.430000000000291</v>
      </c>
      <c r="AU352" s="109"/>
      <c r="AV352" s="67"/>
      <c r="AW352" s="4"/>
      <c r="AX352" s="4"/>
      <c r="AY352" s="4"/>
      <c r="AZ352" s="4"/>
      <c r="BA352" s="4"/>
      <c r="BB352" s="4"/>
    </row>
    <row r="353" spans="1:54" ht="25.5" hidden="1" customHeight="1" x14ac:dyDescent="0.2">
      <c r="A353" s="32">
        <v>636</v>
      </c>
      <c r="B353" s="94" t="s">
        <v>1497</v>
      </c>
      <c r="C353" s="116" t="s">
        <v>1498</v>
      </c>
      <c r="D353" s="107">
        <v>586</v>
      </c>
      <c r="E353" s="256" t="s">
        <v>1302</v>
      </c>
      <c r="F353" s="159"/>
      <c r="G353" s="159">
        <v>1</v>
      </c>
      <c r="H353" s="67" t="s">
        <v>1166</v>
      </c>
      <c r="I353" s="158">
        <v>6226</v>
      </c>
      <c r="J353" s="107">
        <v>2</v>
      </c>
      <c r="K353" s="39">
        <v>6</v>
      </c>
      <c r="L353" s="152" t="s">
        <v>1122</v>
      </c>
      <c r="M353" s="153" t="s">
        <v>108</v>
      </c>
      <c r="N353" s="42" t="s">
        <v>76</v>
      </c>
      <c r="O353" s="117" t="s">
        <v>88</v>
      </c>
      <c r="P353" s="67" t="s">
        <v>89</v>
      </c>
      <c r="Q353" s="67" t="s">
        <v>1499</v>
      </c>
      <c r="R353" s="254"/>
      <c r="S353" s="52">
        <f t="shared" si="79"/>
        <v>58632.5</v>
      </c>
      <c r="T353" s="52">
        <v>58632.5</v>
      </c>
      <c r="U353" s="52">
        <v>0</v>
      </c>
      <c r="V353" s="109" t="s">
        <v>1240</v>
      </c>
      <c r="W353" s="154">
        <v>41941</v>
      </c>
      <c r="X353" s="109"/>
      <c r="Y353" s="109" t="s">
        <v>234</v>
      </c>
      <c r="Z353" s="155"/>
      <c r="AA353" s="155"/>
      <c r="AB353" s="155">
        <f t="shared" si="80"/>
        <v>0</v>
      </c>
      <c r="AC353" s="109"/>
      <c r="AD353" s="154"/>
      <c r="AE353" s="51">
        <f t="shared" si="89"/>
        <v>0</v>
      </c>
      <c r="AF353" s="52">
        <f t="shared" si="90"/>
        <v>48.419999999998254</v>
      </c>
      <c r="AG353" s="52">
        <v>58584.08</v>
      </c>
      <c r="AH353" s="52">
        <f>29292.04+29292.04</f>
        <v>58584.08</v>
      </c>
      <c r="AI353" s="52">
        <f t="shared" si="91"/>
        <v>0</v>
      </c>
      <c r="AJ353" s="163">
        <v>0</v>
      </c>
      <c r="AK353" s="52">
        <v>0</v>
      </c>
      <c r="AL353" s="52">
        <f t="shared" si="82"/>
        <v>0</v>
      </c>
      <c r="AM353" s="52">
        <f t="shared" si="84"/>
        <v>58584.08</v>
      </c>
      <c r="AN353" s="51">
        <f t="shared" si="85"/>
        <v>58584.08</v>
      </c>
      <c r="AO353" s="51">
        <f t="shared" si="83"/>
        <v>0</v>
      </c>
      <c r="AP353" s="125" t="s">
        <v>146</v>
      </c>
      <c r="AQ353" s="52">
        <v>25251.759999999998</v>
      </c>
      <c r="AR353" s="52">
        <v>25251.759999999998</v>
      </c>
      <c r="AS353" s="51">
        <f t="shared" si="81"/>
        <v>0</v>
      </c>
      <c r="AT353" s="126">
        <f t="shared" si="92"/>
        <v>48.419999999998254</v>
      </c>
      <c r="AU353" s="109"/>
      <c r="AV353" s="67"/>
      <c r="AW353" s="4"/>
      <c r="AX353" s="4"/>
      <c r="AY353" s="4"/>
      <c r="AZ353" s="4"/>
      <c r="BA353" s="4"/>
      <c r="BB353" s="4"/>
    </row>
    <row r="354" spans="1:54" ht="25.5" hidden="1" customHeight="1" x14ac:dyDescent="0.2">
      <c r="A354" s="32">
        <v>636</v>
      </c>
      <c r="B354" s="94" t="s">
        <v>1497</v>
      </c>
      <c r="C354" s="116" t="s">
        <v>1498</v>
      </c>
      <c r="D354" s="107">
        <v>587</v>
      </c>
      <c r="E354" s="258"/>
      <c r="F354" s="160"/>
      <c r="G354" s="160">
        <v>1</v>
      </c>
      <c r="H354" s="67" t="s">
        <v>60</v>
      </c>
      <c r="I354" s="158">
        <v>6226</v>
      </c>
      <c r="J354" s="107">
        <v>2</v>
      </c>
      <c r="K354" s="39">
        <v>2</v>
      </c>
      <c r="L354" s="157" t="s">
        <v>61</v>
      </c>
      <c r="M354" s="153" t="s">
        <v>108</v>
      </c>
      <c r="N354" s="42" t="s">
        <v>76</v>
      </c>
      <c r="O354" s="117" t="s">
        <v>88</v>
      </c>
      <c r="P354" s="67" t="s">
        <v>89</v>
      </c>
      <c r="Q354" s="67" t="s">
        <v>1499</v>
      </c>
      <c r="R354" s="254"/>
      <c r="S354" s="52">
        <f t="shared" si="79"/>
        <v>58632.5</v>
      </c>
      <c r="T354" s="52">
        <v>58632.5</v>
      </c>
      <c r="U354" s="52">
        <v>0</v>
      </c>
      <c r="V354" s="109" t="s">
        <v>1240</v>
      </c>
      <c r="W354" s="154">
        <v>41941</v>
      </c>
      <c r="X354" s="109"/>
      <c r="Y354" s="109" t="s">
        <v>234</v>
      </c>
      <c r="Z354" s="155"/>
      <c r="AA354" s="155"/>
      <c r="AB354" s="155">
        <f t="shared" si="80"/>
        <v>0</v>
      </c>
      <c r="AC354" s="109"/>
      <c r="AD354" s="154"/>
      <c r="AE354" s="51">
        <f t="shared" si="89"/>
        <v>0</v>
      </c>
      <c r="AF354" s="52">
        <f t="shared" si="90"/>
        <v>48.430000000000291</v>
      </c>
      <c r="AG354" s="52">
        <v>58584.07</v>
      </c>
      <c r="AH354" s="52">
        <f>29292.04+29292.03</f>
        <v>58584.07</v>
      </c>
      <c r="AI354" s="52">
        <f t="shared" si="91"/>
        <v>0</v>
      </c>
      <c r="AJ354" s="156">
        <v>0</v>
      </c>
      <c r="AK354" s="155">
        <v>0</v>
      </c>
      <c r="AL354" s="52">
        <f t="shared" si="82"/>
        <v>0</v>
      </c>
      <c r="AM354" s="52">
        <f t="shared" si="84"/>
        <v>58584.07</v>
      </c>
      <c r="AN354" s="51">
        <f t="shared" si="85"/>
        <v>58584.07</v>
      </c>
      <c r="AO354" s="51">
        <f t="shared" si="83"/>
        <v>0</v>
      </c>
      <c r="AP354" s="125" t="s">
        <v>146</v>
      </c>
      <c r="AQ354" s="52">
        <v>25251.759999999998</v>
      </c>
      <c r="AR354" s="52">
        <v>25251.759999999998</v>
      </c>
      <c r="AS354" s="51">
        <f t="shared" si="81"/>
        <v>0</v>
      </c>
      <c r="AT354" s="126">
        <f t="shared" si="92"/>
        <v>48.430000000000291</v>
      </c>
      <c r="AU354" s="109"/>
      <c r="AV354" s="67"/>
      <c r="AW354" s="4"/>
      <c r="AX354" s="4"/>
      <c r="AY354" s="4"/>
      <c r="AZ354" s="4"/>
      <c r="BA354" s="4"/>
      <c r="BB354" s="4"/>
    </row>
    <row r="355" spans="1:54" ht="25.5" hidden="1" customHeight="1" x14ac:dyDescent="0.2">
      <c r="A355" s="32">
        <v>636</v>
      </c>
      <c r="B355" s="94" t="s">
        <v>1500</v>
      </c>
      <c r="C355" s="116" t="s">
        <v>1501</v>
      </c>
      <c r="D355" s="107">
        <v>590</v>
      </c>
      <c r="E355" s="256" t="s">
        <v>1502</v>
      </c>
      <c r="F355" s="159"/>
      <c r="G355" s="159">
        <v>1</v>
      </c>
      <c r="H355" s="67" t="s">
        <v>1166</v>
      </c>
      <c r="I355" s="158">
        <v>6226</v>
      </c>
      <c r="J355" s="107">
        <v>2</v>
      </c>
      <c r="K355" s="39">
        <v>6</v>
      </c>
      <c r="L355" s="152" t="s">
        <v>1122</v>
      </c>
      <c r="M355" s="153" t="s">
        <v>108</v>
      </c>
      <c r="N355" s="42" t="s">
        <v>76</v>
      </c>
      <c r="O355" s="117" t="s">
        <v>88</v>
      </c>
      <c r="P355" s="67" t="s">
        <v>89</v>
      </c>
      <c r="Q355" s="67" t="s">
        <v>1503</v>
      </c>
      <c r="R355" s="254"/>
      <c r="S355" s="52">
        <f t="shared" si="79"/>
        <v>58632.5</v>
      </c>
      <c r="T355" s="52">
        <v>58632.5</v>
      </c>
      <c r="U355" s="52">
        <v>0</v>
      </c>
      <c r="V355" s="109" t="s">
        <v>1240</v>
      </c>
      <c r="W355" s="154">
        <v>41941</v>
      </c>
      <c r="X355" s="109"/>
      <c r="Y355" s="109" t="s">
        <v>234</v>
      </c>
      <c r="Z355" s="155"/>
      <c r="AA355" s="155"/>
      <c r="AB355" s="155">
        <f t="shared" si="80"/>
        <v>0</v>
      </c>
      <c r="AC355" s="109"/>
      <c r="AD355" s="154"/>
      <c r="AE355" s="51">
        <f t="shared" si="89"/>
        <v>0</v>
      </c>
      <c r="AF355" s="52">
        <f t="shared" si="90"/>
        <v>48.419999999998254</v>
      </c>
      <c r="AG355" s="52">
        <v>58584.08</v>
      </c>
      <c r="AH355" s="52">
        <f>29292.04+29292.04</f>
        <v>58584.08</v>
      </c>
      <c r="AI355" s="52">
        <f t="shared" si="91"/>
        <v>0</v>
      </c>
      <c r="AJ355" s="163">
        <v>0</v>
      </c>
      <c r="AK355" s="52">
        <v>0</v>
      </c>
      <c r="AL355" s="52">
        <f t="shared" si="82"/>
        <v>0</v>
      </c>
      <c r="AM355" s="52">
        <f t="shared" si="84"/>
        <v>58584.08</v>
      </c>
      <c r="AN355" s="51">
        <f t="shared" si="85"/>
        <v>58584.08</v>
      </c>
      <c r="AO355" s="51">
        <f t="shared" si="83"/>
        <v>0</v>
      </c>
      <c r="AP355" s="125" t="s">
        <v>146</v>
      </c>
      <c r="AQ355" s="52">
        <v>25251.759999999998</v>
      </c>
      <c r="AR355" s="52">
        <v>25251.759999999998</v>
      </c>
      <c r="AS355" s="51">
        <f t="shared" si="81"/>
        <v>0</v>
      </c>
      <c r="AT355" s="126">
        <f t="shared" si="92"/>
        <v>48.419999999998254</v>
      </c>
      <c r="AU355" s="109"/>
      <c r="AV355" s="67"/>
      <c r="AW355" s="4"/>
      <c r="AX355" s="4"/>
      <c r="AY355" s="4"/>
      <c r="AZ355" s="4"/>
      <c r="BA355" s="4"/>
      <c r="BB355" s="4"/>
    </row>
    <row r="356" spans="1:54" ht="25.5" hidden="1" customHeight="1" x14ac:dyDescent="0.2">
      <c r="A356" s="32">
        <v>636</v>
      </c>
      <c r="B356" s="94" t="s">
        <v>1500</v>
      </c>
      <c r="C356" s="116" t="s">
        <v>1501</v>
      </c>
      <c r="D356" s="107">
        <v>591</v>
      </c>
      <c r="E356" s="258"/>
      <c r="F356" s="160"/>
      <c r="G356" s="160">
        <v>1</v>
      </c>
      <c r="H356" s="67" t="s">
        <v>60</v>
      </c>
      <c r="I356" s="158">
        <v>6226</v>
      </c>
      <c r="J356" s="107">
        <v>2</v>
      </c>
      <c r="K356" s="39">
        <v>2</v>
      </c>
      <c r="L356" s="157" t="s">
        <v>61</v>
      </c>
      <c r="M356" s="153" t="s">
        <v>108</v>
      </c>
      <c r="N356" s="42" t="s">
        <v>76</v>
      </c>
      <c r="O356" s="117" t="s">
        <v>88</v>
      </c>
      <c r="P356" s="67" t="s">
        <v>89</v>
      </c>
      <c r="Q356" s="67" t="s">
        <v>1503</v>
      </c>
      <c r="R356" s="254"/>
      <c r="S356" s="52">
        <f t="shared" si="79"/>
        <v>58632.5</v>
      </c>
      <c r="T356" s="52">
        <v>58632.5</v>
      </c>
      <c r="U356" s="52">
        <v>0</v>
      </c>
      <c r="V356" s="109" t="s">
        <v>1240</v>
      </c>
      <c r="W356" s="154">
        <v>41941</v>
      </c>
      <c r="X356" s="109"/>
      <c r="Y356" s="109" t="s">
        <v>234</v>
      </c>
      <c r="Z356" s="155"/>
      <c r="AA356" s="155"/>
      <c r="AB356" s="155">
        <f t="shared" si="80"/>
        <v>0</v>
      </c>
      <c r="AC356" s="109"/>
      <c r="AD356" s="154"/>
      <c r="AE356" s="51">
        <f t="shared" si="89"/>
        <v>0</v>
      </c>
      <c r="AF356" s="52">
        <f t="shared" si="90"/>
        <v>48.430000000000291</v>
      </c>
      <c r="AG356" s="52">
        <v>58584.07</v>
      </c>
      <c r="AH356" s="52">
        <f>29292.04+29292.03</f>
        <v>58584.07</v>
      </c>
      <c r="AI356" s="52">
        <f t="shared" si="91"/>
        <v>0</v>
      </c>
      <c r="AJ356" s="156">
        <v>0</v>
      </c>
      <c r="AK356" s="155">
        <v>0</v>
      </c>
      <c r="AL356" s="52">
        <f t="shared" si="82"/>
        <v>0</v>
      </c>
      <c r="AM356" s="52">
        <f t="shared" si="84"/>
        <v>58584.07</v>
      </c>
      <c r="AN356" s="51">
        <f t="shared" si="85"/>
        <v>58584.07</v>
      </c>
      <c r="AO356" s="51">
        <f t="shared" si="83"/>
        <v>0</v>
      </c>
      <c r="AP356" s="125" t="s">
        <v>146</v>
      </c>
      <c r="AQ356" s="52">
        <v>25251.759999999998</v>
      </c>
      <c r="AR356" s="52">
        <v>25251.759999999998</v>
      </c>
      <c r="AS356" s="51">
        <f t="shared" si="81"/>
        <v>0</v>
      </c>
      <c r="AT356" s="126">
        <f t="shared" si="92"/>
        <v>48.430000000000291</v>
      </c>
      <c r="AU356" s="109"/>
      <c r="AV356" s="67"/>
      <c r="AW356" s="4"/>
      <c r="AX356" s="4"/>
      <c r="AY356" s="4"/>
      <c r="AZ356" s="4"/>
      <c r="BA356" s="4"/>
      <c r="BB356" s="4"/>
    </row>
    <row r="357" spans="1:54" ht="25.5" hidden="1" customHeight="1" x14ac:dyDescent="0.2">
      <c r="A357" s="32">
        <v>636</v>
      </c>
      <c r="B357" s="94" t="s">
        <v>1504</v>
      </c>
      <c r="C357" s="116" t="s">
        <v>1505</v>
      </c>
      <c r="D357" s="107">
        <v>598</v>
      </c>
      <c r="E357" s="256" t="s">
        <v>1302</v>
      </c>
      <c r="F357" s="159"/>
      <c r="G357" s="159">
        <v>1</v>
      </c>
      <c r="H357" s="67" t="s">
        <v>1166</v>
      </c>
      <c r="I357" s="158">
        <v>6225</v>
      </c>
      <c r="J357" s="107">
        <v>2</v>
      </c>
      <c r="K357" s="39">
        <v>6</v>
      </c>
      <c r="L357" s="152" t="s">
        <v>1122</v>
      </c>
      <c r="M357" s="153" t="s">
        <v>108</v>
      </c>
      <c r="N357" s="42" t="s">
        <v>76</v>
      </c>
      <c r="O357" s="117" t="s">
        <v>88</v>
      </c>
      <c r="P357" s="67" t="s">
        <v>89</v>
      </c>
      <c r="Q357" s="67" t="s">
        <v>1506</v>
      </c>
      <c r="R357" s="254"/>
      <c r="S357" s="52">
        <f t="shared" si="79"/>
        <v>58632.5</v>
      </c>
      <c r="T357" s="52">
        <v>58632.5</v>
      </c>
      <c r="U357" s="52">
        <v>0</v>
      </c>
      <c r="V357" s="109" t="s">
        <v>1240</v>
      </c>
      <c r="W357" s="154">
        <v>41941</v>
      </c>
      <c r="X357" s="109"/>
      <c r="Y357" s="109" t="s">
        <v>234</v>
      </c>
      <c r="Z357" s="155"/>
      <c r="AA357" s="155"/>
      <c r="AB357" s="155">
        <f t="shared" si="80"/>
        <v>0</v>
      </c>
      <c r="AC357" s="109"/>
      <c r="AD357" s="154"/>
      <c r="AE357" s="51">
        <f t="shared" si="89"/>
        <v>0</v>
      </c>
      <c r="AF357" s="52">
        <f t="shared" si="90"/>
        <v>48.419999999998254</v>
      </c>
      <c r="AG357" s="52">
        <v>58584.08</v>
      </c>
      <c r="AH357" s="52">
        <f>29292.04+29292.04</f>
        <v>58584.08</v>
      </c>
      <c r="AI357" s="52">
        <f t="shared" si="91"/>
        <v>0</v>
      </c>
      <c r="AJ357" s="163">
        <v>0</v>
      </c>
      <c r="AK357" s="52">
        <v>0</v>
      </c>
      <c r="AL357" s="52">
        <f t="shared" si="82"/>
        <v>0</v>
      </c>
      <c r="AM357" s="52">
        <f t="shared" si="84"/>
        <v>58584.08</v>
      </c>
      <c r="AN357" s="51">
        <f t="shared" si="85"/>
        <v>58584.08</v>
      </c>
      <c r="AO357" s="51">
        <f t="shared" si="83"/>
        <v>0</v>
      </c>
      <c r="AP357" s="125" t="s">
        <v>146</v>
      </c>
      <c r="AQ357" s="52">
        <v>25251.759999999998</v>
      </c>
      <c r="AR357" s="52">
        <v>25251.759999999998</v>
      </c>
      <c r="AS357" s="51">
        <f t="shared" si="81"/>
        <v>0</v>
      </c>
      <c r="AT357" s="126">
        <f t="shared" si="92"/>
        <v>48.419999999998254</v>
      </c>
      <c r="AU357" s="109"/>
      <c r="AV357" s="67"/>
      <c r="AW357" s="4"/>
      <c r="AX357" s="4"/>
      <c r="AY357" s="4"/>
      <c r="AZ357" s="4"/>
      <c r="BA357" s="4"/>
      <c r="BB357" s="4"/>
    </row>
    <row r="358" spans="1:54" ht="25.5" hidden="1" customHeight="1" x14ac:dyDescent="0.2">
      <c r="A358" s="32">
        <v>636</v>
      </c>
      <c r="B358" s="94" t="s">
        <v>1504</v>
      </c>
      <c r="C358" s="116" t="s">
        <v>1505</v>
      </c>
      <c r="D358" s="107">
        <v>571</v>
      </c>
      <c r="E358" s="258"/>
      <c r="F358" s="160"/>
      <c r="G358" s="160">
        <v>1</v>
      </c>
      <c r="H358" s="67" t="s">
        <v>60</v>
      </c>
      <c r="I358" s="158">
        <v>6225</v>
      </c>
      <c r="J358" s="107">
        <v>2</v>
      </c>
      <c r="K358" s="39">
        <v>2</v>
      </c>
      <c r="L358" s="157" t="s">
        <v>61</v>
      </c>
      <c r="M358" s="153" t="s">
        <v>108</v>
      </c>
      <c r="N358" s="42" t="s">
        <v>76</v>
      </c>
      <c r="O358" s="117" t="s">
        <v>88</v>
      </c>
      <c r="P358" s="67" t="s">
        <v>89</v>
      </c>
      <c r="Q358" s="67" t="s">
        <v>1506</v>
      </c>
      <c r="R358" s="254"/>
      <c r="S358" s="52">
        <f t="shared" si="79"/>
        <v>58632.5</v>
      </c>
      <c r="T358" s="52">
        <v>58632.5</v>
      </c>
      <c r="U358" s="52">
        <v>0</v>
      </c>
      <c r="V358" s="109" t="s">
        <v>1240</v>
      </c>
      <c r="W358" s="154">
        <v>41941</v>
      </c>
      <c r="X358" s="109"/>
      <c r="Y358" s="109" t="s">
        <v>234</v>
      </c>
      <c r="Z358" s="155"/>
      <c r="AA358" s="155"/>
      <c r="AB358" s="155">
        <f t="shared" si="80"/>
        <v>0</v>
      </c>
      <c r="AC358" s="109"/>
      <c r="AD358" s="154"/>
      <c r="AE358" s="51">
        <f t="shared" si="89"/>
        <v>0</v>
      </c>
      <c r="AF358" s="52">
        <f t="shared" si="90"/>
        <v>48.430000000000291</v>
      </c>
      <c r="AG358" s="52">
        <v>58584.07</v>
      </c>
      <c r="AH358" s="52">
        <f>29292.04+29292.03</f>
        <v>58584.07</v>
      </c>
      <c r="AI358" s="52">
        <f t="shared" si="91"/>
        <v>0</v>
      </c>
      <c r="AJ358" s="156">
        <v>0</v>
      </c>
      <c r="AK358" s="155">
        <v>0</v>
      </c>
      <c r="AL358" s="52">
        <f t="shared" si="82"/>
        <v>0</v>
      </c>
      <c r="AM358" s="52">
        <f t="shared" si="84"/>
        <v>58584.07</v>
      </c>
      <c r="AN358" s="51">
        <f t="shared" si="85"/>
        <v>58584.07</v>
      </c>
      <c r="AO358" s="51">
        <f t="shared" si="83"/>
        <v>0</v>
      </c>
      <c r="AP358" s="125" t="s">
        <v>146</v>
      </c>
      <c r="AQ358" s="52">
        <v>25251.759999999998</v>
      </c>
      <c r="AR358" s="52">
        <v>25251.759999999998</v>
      </c>
      <c r="AS358" s="51">
        <f t="shared" si="81"/>
        <v>0</v>
      </c>
      <c r="AT358" s="126">
        <f t="shared" si="92"/>
        <v>48.430000000000291</v>
      </c>
      <c r="AU358" s="109"/>
      <c r="AV358" s="67"/>
      <c r="AW358" s="4"/>
      <c r="AX358" s="4"/>
      <c r="AY358" s="4"/>
      <c r="AZ358" s="4"/>
      <c r="BA358" s="4"/>
      <c r="BB358" s="4"/>
    </row>
    <row r="359" spans="1:54" ht="25.5" hidden="1" customHeight="1" x14ac:dyDescent="0.2">
      <c r="A359" s="32">
        <v>636</v>
      </c>
      <c r="B359" s="94" t="s">
        <v>1507</v>
      </c>
      <c r="C359" s="116" t="s">
        <v>1508</v>
      </c>
      <c r="D359" s="107">
        <v>576</v>
      </c>
      <c r="E359" s="256" t="s">
        <v>1299</v>
      </c>
      <c r="F359" s="159"/>
      <c r="G359" s="159">
        <v>1</v>
      </c>
      <c r="H359" s="67" t="s">
        <v>1166</v>
      </c>
      <c r="I359" s="158">
        <v>6226</v>
      </c>
      <c r="J359" s="107">
        <v>2</v>
      </c>
      <c r="K359" s="39">
        <v>6</v>
      </c>
      <c r="L359" s="152" t="s">
        <v>1122</v>
      </c>
      <c r="M359" s="153" t="s">
        <v>108</v>
      </c>
      <c r="N359" s="42" t="s">
        <v>76</v>
      </c>
      <c r="O359" s="117" t="s">
        <v>88</v>
      </c>
      <c r="P359" s="67" t="s">
        <v>89</v>
      </c>
      <c r="Q359" s="67" t="s">
        <v>1153</v>
      </c>
      <c r="R359" s="254"/>
      <c r="S359" s="52">
        <f t="shared" si="79"/>
        <v>175897.5</v>
      </c>
      <c r="T359" s="52">
        <v>175897.5</v>
      </c>
      <c r="U359" s="52">
        <v>0</v>
      </c>
      <c r="V359" s="109" t="s">
        <v>1240</v>
      </c>
      <c r="W359" s="154">
        <v>41941</v>
      </c>
      <c r="X359" s="109"/>
      <c r="Y359" s="109" t="s">
        <v>234</v>
      </c>
      <c r="Z359" s="155"/>
      <c r="AA359" s="155"/>
      <c r="AB359" s="155">
        <f t="shared" si="80"/>
        <v>0</v>
      </c>
      <c r="AC359" s="109"/>
      <c r="AD359" s="154"/>
      <c r="AE359" s="51">
        <f t="shared" si="89"/>
        <v>0</v>
      </c>
      <c r="AF359" s="52">
        <f t="shared" si="90"/>
        <v>145.27999999999884</v>
      </c>
      <c r="AG359" s="52">
        <v>175752.22</v>
      </c>
      <c r="AH359" s="52">
        <f>87876.11+87876.1</f>
        <v>175752.21000000002</v>
      </c>
      <c r="AI359" s="52">
        <f t="shared" si="91"/>
        <v>9.9999999802093953E-3</v>
      </c>
      <c r="AJ359" s="163">
        <v>0</v>
      </c>
      <c r="AK359" s="52">
        <v>0</v>
      </c>
      <c r="AL359" s="52">
        <f t="shared" si="82"/>
        <v>0</v>
      </c>
      <c r="AM359" s="52">
        <f t="shared" si="84"/>
        <v>175752.22</v>
      </c>
      <c r="AN359" s="51">
        <f t="shared" si="85"/>
        <v>175752.21000000002</v>
      </c>
      <c r="AO359" s="51">
        <f t="shared" si="83"/>
        <v>9.9999999802093953E-3</v>
      </c>
      <c r="AP359" s="125" t="s">
        <v>146</v>
      </c>
      <c r="AQ359" s="52">
        <v>75755.27</v>
      </c>
      <c r="AR359" s="52">
        <v>75755.27</v>
      </c>
      <c r="AS359" s="51">
        <f t="shared" si="81"/>
        <v>0</v>
      </c>
      <c r="AT359" s="126">
        <f t="shared" si="92"/>
        <v>145.28999999997905</v>
      </c>
      <c r="AU359" s="109"/>
      <c r="AV359" s="67"/>
      <c r="AW359" s="4"/>
      <c r="AX359" s="4"/>
      <c r="AY359" s="4"/>
      <c r="AZ359" s="4"/>
      <c r="BA359" s="4"/>
      <c r="BB359" s="4"/>
    </row>
    <row r="360" spans="1:54" ht="25.5" hidden="1" customHeight="1" x14ac:dyDescent="0.2">
      <c r="A360" s="32">
        <v>636</v>
      </c>
      <c r="B360" s="94" t="s">
        <v>1507</v>
      </c>
      <c r="C360" s="116" t="s">
        <v>1508</v>
      </c>
      <c r="D360" s="107">
        <v>577</v>
      </c>
      <c r="E360" s="258"/>
      <c r="F360" s="160"/>
      <c r="G360" s="160">
        <v>1</v>
      </c>
      <c r="H360" s="67" t="s">
        <v>60</v>
      </c>
      <c r="I360" s="158">
        <v>6226</v>
      </c>
      <c r="J360" s="107">
        <v>2</v>
      </c>
      <c r="K360" s="39">
        <v>2</v>
      </c>
      <c r="L360" s="157" t="s">
        <v>61</v>
      </c>
      <c r="M360" s="153" t="s">
        <v>108</v>
      </c>
      <c r="N360" s="42" t="s">
        <v>76</v>
      </c>
      <c r="O360" s="117" t="s">
        <v>88</v>
      </c>
      <c r="P360" s="67" t="s">
        <v>89</v>
      </c>
      <c r="Q360" s="67" t="s">
        <v>1153</v>
      </c>
      <c r="R360" s="254"/>
      <c r="S360" s="52">
        <f t="shared" si="79"/>
        <v>175897.5</v>
      </c>
      <c r="T360" s="52">
        <v>175897.5</v>
      </c>
      <c r="U360" s="52">
        <v>0</v>
      </c>
      <c r="V360" s="109" t="s">
        <v>1240</v>
      </c>
      <c r="W360" s="154">
        <v>41941</v>
      </c>
      <c r="X360" s="109"/>
      <c r="Y360" s="109" t="s">
        <v>234</v>
      </c>
      <c r="Z360" s="155"/>
      <c r="AA360" s="155"/>
      <c r="AB360" s="155">
        <f t="shared" si="80"/>
        <v>0</v>
      </c>
      <c r="AC360" s="109"/>
      <c r="AD360" s="154"/>
      <c r="AE360" s="51">
        <f t="shared" si="89"/>
        <v>0</v>
      </c>
      <c r="AF360" s="52">
        <f t="shared" si="90"/>
        <v>145.29000000000815</v>
      </c>
      <c r="AG360" s="52">
        <v>175752.21</v>
      </c>
      <c r="AH360" s="52">
        <f>87876.1+87876.11</f>
        <v>175752.21000000002</v>
      </c>
      <c r="AI360" s="52">
        <f t="shared" si="91"/>
        <v>-2.9103830456733704E-11</v>
      </c>
      <c r="AJ360" s="156">
        <v>0</v>
      </c>
      <c r="AK360" s="155">
        <v>0</v>
      </c>
      <c r="AL360" s="52">
        <f t="shared" si="82"/>
        <v>0</v>
      </c>
      <c r="AM360" s="52">
        <f t="shared" si="84"/>
        <v>175752.21</v>
      </c>
      <c r="AN360" s="51">
        <f t="shared" si="85"/>
        <v>175752.21000000002</v>
      </c>
      <c r="AO360" s="51">
        <f t="shared" si="83"/>
        <v>0</v>
      </c>
      <c r="AP360" s="125" t="s">
        <v>146</v>
      </c>
      <c r="AQ360" s="52">
        <v>75755.259999999995</v>
      </c>
      <c r="AR360" s="52">
        <v>75755.259999999995</v>
      </c>
      <c r="AS360" s="51">
        <f t="shared" si="81"/>
        <v>0</v>
      </c>
      <c r="AT360" s="126">
        <f t="shared" si="92"/>
        <v>145.28999999997905</v>
      </c>
      <c r="AU360" s="109"/>
      <c r="AV360" s="67"/>
      <c r="AW360" s="4"/>
      <c r="AX360" s="4"/>
      <c r="AY360" s="4"/>
      <c r="AZ360" s="4"/>
      <c r="BA360" s="4"/>
      <c r="BB360" s="4"/>
    </row>
    <row r="361" spans="1:54" ht="25.5" hidden="1" customHeight="1" x14ac:dyDescent="0.2">
      <c r="A361" s="32">
        <v>636</v>
      </c>
      <c r="B361" s="94" t="s">
        <v>1509</v>
      </c>
      <c r="C361" s="116" t="s">
        <v>1510</v>
      </c>
      <c r="D361" s="107">
        <v>567</v>
      </c>
      <c r="E361" s="256" t="s">
        <v>1511</v>
      </c>
      <c r="F361" s="159"/>
      <c r="G361" s="159">
        <v>1</v>
      </c>
      <c r="H361" s="67" t="s">
        <v>1166</v>
      </c>
      <c r="I361" s="158">
        <v>6226</v>
      </c>
      <c r="J361" s="107">
        <v>2</v>
      </c>
      <c r="K361" s="39">
        <v>6</v>
      </c>
      <c r="L361" s="152" t="s">
        <v>1122</v>
      </c>
      <c r="M361" s="153" t="s">
        <v>108</v>
      </c>
      <c r="N361" s="42" t="s">
        <v>76</v>
      </c>
      <c r="O361" s="117" t="s">
        <v>88</v>
      </c>
      <c r="P361" s="67" t="s">
        <v>89</v>
      </c>
      <c r="Q361" s="67" t="s">
        <v>616</v>
      </c>
      <c r="R361" s="254"/>
      <c r="S361" s="52">
        <f t="shared" si="79"/>
        <v>879487.5</v>
      </c>
      <c r="T361" s="52">
        <v>879487.5</v>
      </c>
      <c r="U361" s="52">
        <v>0</v>
      </c>
      <c r="V361" s="109" t="s">
        <v>1240</v>
      </c>
      <c r="W361" s="154">
        <v>41941</v>
      </c>
      <c r="X361" s="109"/>
      <c r="Y361" s="109" t="s">
        <v>234</v>
      </c>
      <c r="Z361" s="155"/>
      <c r="AA361" s="155"/>
      <c r="AB361" s="155">
        <f t="shared" si="80"/>
        <v>0</v>
      </c>
      <c r="AC361" s="109"/>
      <c r="AD361" s="154"/>
      <c r="AE361" s="51">
        <f t="shared" si="89"/>
        <v>0</v>
      </c>
      <c r="AF361" s="52">
        <f t="shared" si="90"/>
        <v>726.44999999995343</v>
      </c>
      <c r="AG361" s="52">
        <v>878761.05</v>
      </c>
      <c r="AH361" s="52">
        <f>439380.53+439380.52</f>
        <v>878761.05</v>
      </c>
      <c r="AI361" s="52">
        <f t="shared" si="91"/>
        <v>0</v>
      </c>
      <c r="AJ361" s="163">
        <v>0</v>
      </c>
      <c r="AK361" s="52">
        <v>0</v>
      </c>
      <c r="AL361" s="52">
        <f t="shared" si="82"/>
        <v>0</v>
      </c>
      <c r="AM361" s="52">
        <f t="shared" si="84"/>
        <v>878761.05</v>
      </c>
      <c r="AN361" s="51">
        <f t="shared" si="85"/>
        <v>878761.05</v>
      </c>
      <c r="AO361" s="51">
        <f t="shared" si="83"/>
        <v>0</v>
      </c>
      <c r="AP361" s="125" t="s">
        <v>146</v>
      </c>
      <c r="AQ361" s="52">
        <v>378776.32000000001</v>
      </c>
      <c r="AR361" s="52">
        <v>378776.32000000001</v>
      </c>
      <c r="AS361" s="51">
        <f t="shared" si="81"/>
        <v>0</v>
      </c>
      <c r="AT361" s="126">
        <f t="shared" si="92"/>
        <v>726.44999999995343</v>
      </c>
      <c r="AU361" s="109"/>
      <c r="AV361" s="67"/>
      <c r="AW361" s="4"/>
      <c r="AX361" s="4"/>
      <c r="AY361" s="4"/>
      <c r="AZ361" s="4"/>
      <c r="BA361" s="4"/>
      <c r="BB361" s="4"/>
    </row>
    <row r="362" spans="1:54" ht="25.5" hidden="1" customHeight="1" x14ac:dyDescent="0.2">
      <c r="A362" s="32">
        <v>636</v>
      </c>
      <c r="B362" s="94" t="s">
        <v>1509</v>
      </c>
      <c r="C362" s="116" t="s">
        <v>1510</v>
      </c>
      <c r="D362" s="107">
        <v>566</v>
      </c>
      <c r="E362" s="258"/>
      <c r="F362" s="160"/>
      <c r="G362" s="160">
        <v>1</v>
      </c>
      <c r="H362" s="67" t="s">
        <v>60</v>
      </c>
      <c r="I362" s="158">
        <v>6226</v>
      </c>
      <c r="J362" s="107">
        <v>2</v>
      </c>
      <c r="K362" s="39">
        <v>2</v>
      </c>
      <c r="L362" s="157" t="s">
        <v>61</v>
      </c>
      <c r="M362" s="153" t="s">
        <v>108</v>
      </c>
      <c r="N362" s="42" t="s">
        <v>76</v>
      </c>
      <c r="O362" s="117" t="s">
        <v>88</v>
      </c>
      <c r="P362" s="67" t="s">
        <v>89</v>
      </c>
      <c r="Q362" s="67" t="s">
        <v>616</v>
      </c>
      <c r="R362" s="254"/>
      <c r="S362" s="52">
        <f t="shared" ref="S362:S422" si="93">T362+U362</f>
        <v>879487.5</v>
      </c>
      <c r="T362" s="52">
        <v>879487.5</v>
      </c>
      <c r="U362" s="52">
        <v>0</v>
      </c>
      <c r="V362" s="109" t="s">
        <v>1240</v>
      </c>
      <c r="W362" s="154">
        <v>41941</v>
      </c>
      <c r="X362" s="109"/>
      <c r="Y362" s="109" t="s">
        <v>234</v>
      </c>
      <c r="Z362" s="155"/>
      <c r="AA362" s="155"/>
      <c r="AB362" s="155">
        <f t="shared" si="80"/>
        <v>0</v>
      </c>
      <c r="AC362" s="109"/>
      <c r="AD362" s="154"/>
      <c r="AE362" s="51">
        <f t="shared" si="89"/>
        <v>0</v>
      </c>
      <c r="AF362" s="52">
        <f t="shared" si="90"/>
        <v>726.44999999995343</v>
      </c>
      <c r="AG362" s="52">
        <v>878761.05</v>
      </c>
      <c r="AH362" s="52">
        <f>439380.52+439380.53</f>
        <v>878761.05</v>
      </c>
      <c r="AI362" s="52">
        <f t="shared" si="91"/>
        <v>0</v>
      </c>
      <c r="AJ362" s="156">
        <v>0</v>
      </c>
      <c r="AK362" s="155">
        <v>0</v>
      </c>
      <c r="AL362" s="52">
        <f t="shared" si="82"/>
        <v>0</v>
      </c>
      <c r="AM362" s="52">
        <f t="shared" si="84"/>
        <v>878761.05</v>
      </c>
      <c r="AN362" s="51">
        <f t="shared" si="85"/>
        <v>878761.05</v>
      </c>
      <c r="AO362" s="51">
        <f t="shared" si="83"/>
        <v>0</v>
      </c>
      <c r="AP362" s="125" t="s">
        <v>146</v>
      </c>
      <c r="AQ362" s="52">
        <v>378776.31</v>
      </c>
      <c r="AR362" s="52">
        <v>378776.31</v>
      </c>
      <c r="AS362" s="51">
        <f t="shared" si="81"/>
        <v>0</v>
      </c>
      <c r="AT362" s="126">
        <f t="shared" si="92"/>
        <v>726.44999999995343</v>
      </c>
      <c r="AU362" s="109"/>
      <c r="AV362" s="67"/>
      <c r="AW362" s="4"/>
      <c r="AX362" s="4"/>
      <c r="AY362" s="4"/>
      <c r="AZ362" s="4"/>
      <c r="BA362" s="4"/>
      <c r="BB362" s="4"/>
    </row>
    <row r="363" spans="1:54" ht="25.5" hidden="1" customHeight="1" x14ac:dyDescent="0.2">
      <c r="A363" s="32">
        <v>636</v>
      </c>
      <c r="B363" s="94" t="s">
        <v>1512</v>
      </c>
      <c r="C363" s="116" t="s">
        <v>1513</v>
      </c>
      <c r="D363" s="107">
        <v>552</v>
      </c>
      <c r="E363" s="256" t="s">
        <v>1294</v>
      </c>
      <c r="F363" s="159"/>
      <c r="G363" s="159">
        <v>1</v>
      </c>
      <c r="H363" s="67" t="s">
        <v>1166</v>
      </c>
      <c r="I363" s="158">
        <v>6226</v>
      </c>
      <c r="J363" s="107">
        <v>2</v>
      </c>
      <c r="K363" s="39">
        <v>6</v>
      </c>
      <c r="L363" s="152" t="s">
        <v>1122</v>
      </c>
      <c r="M363" s="153" t="s">
        <v>108</v>
      </c>
      <c r="N363" s="42" t="s">
        <v>76</v>
      </c>
      <c r="O363" s="117" t="s">
        <v>88</v>
      </c>
      <c r="P363" s="67" t="s">
        <v>89</v>
      </c>
      <c r="Q363" s="67" t="s">
        <v>1514</v>
      </c>
      <c r="R363" s="254"/>
      <c r="S363" s="52">
        <f t="shared" si="93"/>
        <v>117265</v>
      </c>
      <c r="T363" s="52">
        <v>117265</v>
      </c>
      <c r="U363" s="52">
        <v>0</v>
      </c>
      <c r="V363" s="109" t="s">
        <v>1240</v>
      </c>
      <c r="W363" s="154">
        <v>41941</v>
      </c>
      <c r="X363" s="109"/>
      <c r="Y363" s="109" t="s">
        <v>234</v>
      </c>
      <c r="Z363" s="155"/>
      <c r="AA363" s="155"/>
      <c r="AB363" s="155">
        <f t="shared" si="80"/>
        <v>0</v>
      </c>
      <c r="AC363" s="109"/>
      <c r="AD363" s="154"/>
      <c r="AE363" s="51">
        <f t="shared" si="89"/>
        <v>0</v>
      </c>
      <c r="AF363" s="52">
        <f t="shared" si="90"/>
        <v>96.860000000000582</v>
      </c>
      <c r="AG363" s="52">
        <v>117168.14</v>
      </c>
      <c r="AH363" s="52">
        <f>58584.07+58584.07</f>
        <v>117168.14</v>
      </c>
      <c r="AI363" s="52">
        <f t="shared" si="91"/>
        <v>0</v>
      </c>
      <c r="AJ363" s="163">
        <v>0</v>
      </c>
      <c r="AK363" s="52">
        <v>0</v>
      </c>
      <c r="AL363" s="52">
        <f t="shared" si="82"/>
        <v>0</v>
      </c>
      <c r="AM363" s="52">
        <f t="shared" si="84"/>
        <v>117168.14</v>
      </c>
      <c r="AN363" s="51">
        <f t="shared" si="85"/>
        <v>117168.14</v>
      </c>
      <c r="AO363" s="51">
        <f t="shared" si="83"/>
        <v>0</v>
      </c>
      <c r="AP363" s="125" t="s">
        <v>146</v>
      </c>
      <c r="AQ363" s="52">
        <v>50503.51</v>
      </c>
      <c r="AR363" s="52">
        <v>50503.51</v>
      </c>
      <c r="AS363" s="51">
        <f t="shared" si="81"/>
        <v>0</v>
      </c>
      <c r="AT363" s="126">
        <f t="shared" si="92"/>
        <v>96.860000000000582</v>
      </c>
      <c r="AU363" s="109"/>
      <c r="AV363" s="67"/>
      <c r="AW363" s="4"/>
      <c r="AX363" s="4"/>
      <c r="AY363" s="4"/>
      <c r="AZ363" s="4"/>
      <c r="BA363" s="4"/>
      <c r="BB363" s="4"/>
    </row>
    <row r="364" spans="1:54" ht="25.5" hidden="1" customHeight="1" x14ac:dyDescent="0.2">
      <c r="A364" s="32">
        <v>636</v>
      </c>
      <c r="B364" s="94" t="s">
        <v>1512</v>
      </c>
      <c r="C364" s="116" t="s">
        <v>1513</v>
      </c>
      <c r="D364" s="107">
        <v>553</v>
      </c>
      <c r="E364" s="258"/>
      <c r="F364" s="160"/>
      <c r="G364" s="160">
        <v>1</v>
      </c>
      <c r="H364" s="67" t="s">
        <v>60</v>
      </c>
      <c r="I364" s="158">
        <v>6226</v>
      </c>
      <c r="J364" s="107">
        <v>2</v>
      </c>
      <c r="K364" s="39">
        <v>2</v>
      </c>
      <c r="L364" s="157" t="s">
        <v>61</v>
      </c>
      <c r="M364" s="153" t="s">
        <v>108</v>
      </c>
      <c r="N364" s="42" t="s">
        <v>76</v>
      </c>
      <c r="O364" s="117" t="s">
        <v>88</v>
      </c>
      <c r="P364" s="67" t="s">
        <v>89</v>
      </c>
      <c r="Q364" s="67" t="s">
        <v>1514</v>
      </c>
      <c r="R364" s="255"/>
      <c r="S364" s="52">
        <f t="shared" si="93"/>
        <v>117265</v>
      </c>
      <c r="T364" s="52">
        <v>117265</v>
      </c>
      <c r="U364" s="52">
        <v>0</v>
      </c>
      <c r="V364" s="109" t="s">
        <v>1240</v>
      </c>
      <c r="W364" s="154">
        <v>41941</v>
      </c>
      <c r="X364" s="109"/>
      <c r="Y364" s="109" t="s">
        <v>234</v>
      </c>
      <c r="Z364" s="155"/>
      <c r="AA364" s="155"/>
      <c r="AB364" s="155">
        <f t="shared" ref="AB364:AB403" si="94">Z364-AA364</f>
        <v>0</v>
      </c>
      <c r="AC364" s="109"/>
      <c r="AD364" s="154"/>
      <c r="AE364" s="51">
        <f t="shared" si="89"/>
        <v>0</v>
      </c>
      <c r="AF364" s="52">
        <f t="shared" si="90"/>
        <v>96.869999999995343</v>
      </c>
      <c r="AG364" s="52">
        <v>117168.13</v>
      </c>
      <c r="AH364" s="52">
        <f>58584.06+58584.07</f>
        <v>117168.13</v>
      </c>
      <c r="AI364" s="52">
        <f t="shared" si="91"/>
        <v>0</v>
      </c>
      <c r="AJ364" s="156">
        <v>0</v>
      </c>
      <c r="AK364" s="155">
        <v>0</v>
      </c>
      <c r="AL364" s="52">
        <f t="shared" si="82"/>
        <v>0</v>
      </c>
      <c r="AM364" s="52">
        <f t="shared" si="84"/>
        <v>117168.13</v>
      </c>
      <c r="AN364" s="51">
        <f t="shared" si="85"/>
        <v>117168.13</v>
      </c>
      <c r="AO364" s="51">
        <f t="shared" si="83"/>
        <v>0</v>
      </c>
      <c r="AP364" s="125" t="s">
        <v>146</v>
      </c>
      <c r="AQ364" s="52">
        <v>50503.5</v>
      </c>
      <c r="AR364" s="52">
        <v>50503.5</v>
      </c>
      <c r="AS364" s="51">
        <f t="shared" si="81"/>
        <v>0</v>
      </c>
      <c r="AT364" s="126">
        <f t="shared" si="92"/>
        <v>96.869999999995343</v>
      </c>
      <c r="AU364" s="109"/>
      <c r="AV364" s="67"/>
      <c r="AW364" s="4"/>
      <c r="AX364" s="4"/>
      <c r="AY364" s="4"/>
      <c r="AZ364" s="4"/>
      <c r="BA364" s="4"/>
      <c r="BB364" s="4"/>
    </row>
    <row r="365" spans="1:54" ht="20.25" hidden="1" customHeight="1" x14ac:dyDescent="0.2">
      <c r="A365" s="32">
        <v>636</v>
      </c>
      <c r="B365" s="94" t="s">
        <v>1515</v>
      </c>
      <c r="C365" s="116" t="s">
        <v>1516</v>
      </c>
      <c r="D365" s="107">
        <v>572</v>
      </c>
      <c r="E365" s="256" t="s">
        <v>1517</v>
      </c>
      <c r="F365" s="159">
        <v>2487</v>
      </c>
      <c r="G365" s="159"/>
      <c r="H365" s="67" t="s">
        <v>1166</v>
      </c>
      <c r="I365" s="158">
        <v>6226</v>
      </c>
      <c r="J365" s="107">
        <v>2</v>
      </c>
      <c r="K365" s="39">
        <v>6</v>
      </c>
      <c r="L365" s="152" t="s">
        <v>1122</v>
      </c>
      <c r="M365" s="153" t="s">
        <v>108</v>
      </c>
      <c r="N365" s="42" t="s">
        <v>76</v>
      </c>
      <c r="O365" s="117" t="s">
        <v>88</v>
      </c>
      <c r="P365" s="67" t="s">
        <v>238</v>
      </c>
      <c r="Q365" s="67" t="s">
        <v>1518</v>
      </c>
      <c r="R365" s="253" t="s">
        <v>1519</v>
      </c>
      <c r="S365" s="52">
        <f t="shared" si="93"/>
        <v>58631.54</v>
      </c>
      <c r="T365" s="52">
        <f>58632.5-0.96</f>
        <v>58631.54</v>
      </c>
      <c r="U365" s="52">
        <v>0</v>
      </c>
      <c r="V365" s="109" t="s">
        <v>1240</v>
      </c>
      <c r="W365" s="154">
        <v>41941</v>
      </c>
      <c r="X365" s="109"/>
      <c r="Y365" s="109" t="s">
        <v>234</v>
      </c>
      <c r="Z365" s="155"/>
      <c r="AA365" s="155"/>
      <c r="AB365" s="155">
        <f t="shared" si="94"/>
        <v>0</v>
      </c>
      <c r="AC365" s="109"/>
      <c r="AD365" s="154"/>
      <c r="AE365" s="51">
        <f t="shared" si="89"/>
        <v>0</v>
      </c>
      <c r="AF365" s="52">
        <f t="shared" si="90"/>
        <v>0</v>
      </c>
      <c r="AG365" s="52">
        <v>58631.54</v>
      </c>
      <c r="AH365" s="52">
        <f>29315.77+29315.77</f>
        <v>58631.54</v>
      </c>
      <c r="AI365" s="52">
        <f t="shared" si="91"/>
        <v>0</v>
      </c>
      <c r="AJ365" s="156">
        <v>0</v>
      </c>
      <c r="AK365" s="155">
        <v>0</v>
      </c>
      <c r="AL365" s="52">
        <f t="shared" si="82"/>
        <v>0</v>
      </c>
      <c r="AM365" s="52">
        <f t="shared" si="84"/>
        <v>58631.54</v>
      </c>
      <c r="AN365" s="51">
        <f t="shared" si="85"/>
        <v>58631.54</v>
      </c>
      <c r="AO365" s="51">
        <f t="shared" si="83"/>
        <v>0</v>
      </c>
      <c r="AP365" s="125"/>
      <c r="AQ365" s="52">
        <v>25272.22</v>
      </c>
      <c r="AR365" s="52">
        <v>25272.22</v>
      </c>
      <c r="AS365" s="51">
        <f t="shared" si="81"/>
        <v>0</v>
      </c>
      <c r="AT365" s="126">
        <f t="shared" si="92"/>
        <v>0</v>
      </c>
      <c r="AU365" s="109"/>
      <c r="AV365" s="67"/>
      <c r="AW365" s="4"/>
      <c r="AX365" s="4"/>
      <c r="AY365" s="4"/>
      <c r="AZ365" s="4"/>
      <c r="BA365" s="4"/>
      <c r="BB365" s="4"/>
    </row>
    <row r="366" spans="1:54" ht="20.25" hidden="1" customHeight="1" x14ac:dyDescent="0.2">
      <c r="A366" s="32">
        <v>636</v>
      </c>
      <c r="B366" s="94" t="s">
        <v>1515</v>
      </c>
      <c r="C366" s="116" t="s">
        <v>1516</v>
      </c>
      <c r="D366" s="107">
        <v>573</v>
      </c>
      <c r="E366" s="258"/>
      <c r="F366" s="36"/>
      <c r="G366" s="160"/>
      <c r="H366" s="67" t="s">
        <v>60</v>
      </c>
      <c r="I366" s="158">
        <v>6226</v>
      </c>
      <c r="J366" s="107">
        <v>2</v>
      </c>
      <c r="K366" s="39">
        <v>2</v>
      </c>
      <c r="L366" s="157" t="s">
        <v>61</v>
      </c>
      <c r="M366" s="153" t="s">
        <v>108</v>
      </c>
      <c r="N366" s="42" t="s">
        <v>76</v>
      </c>
      <c r="O366" s="117" t="s">
        <v>88</v>
      </c>
      <c r="P366" s="67" t="s">
        <v>238</v>
      </c>
      <c r="Q366" s="67" t="s">
        <v>1518</v>
      </c>
      <c r="R366" s="255"/>
      <c r="S366" s="52">
        <f t="shared" si="93"/>
        <v>58631.53</v>
      </c>
      <c r="T366" s="52">
        <f>58632.5-0.97</f>
        <v>58631.53</v>
      </c>
      <c r="U366" s="52">
        <v>0</v>
      </c>
      <c r="V366" s="109" t="s">
        <v>1240</v>
      </c>
      <c r="W366" s="154">
        <v>41941</v>
      </c>
      <c r="X366" s="109"/>
      <c r="Y366" s="109" t="s">
        <v>234</v>
      </c>
      <c r="Z366" s="155"/>
      <c r="AA366" s="155"/>
      <c r="AB366" s="155">
        <f t="shared" si="94"/>
        <v>0</v>
      </c>
      <c r="AC366" s="109"/>
      <c r="AD366" s="154"/>
      <c r="AE366" s="51">
        <f t="shared" si="89"/>
        <v>0</v>
      </c>
      <c r="AF366" s="52">
        <f t="shared" si="90"/>
        <v>0</v>
      </c>
      <c r="AG366" s="52">
        <v>58631.53</v>
      </c>
      <c r="AH366" s="52">
        <f>29315.77+29315.76</f>
        <v>58631.53</v>
      </c>
      <c r="AI366" s="52">
        <f t="shared" si="91"/>
        <v>0</v>
      </c>
      <c r="AJ366" s="156">
        <v>0</v>
      </c>
      <c r="AK366" s="155">
        <v>0</v>
      </c>
      <c r="AL366" s="52">
        <f t="shared" si="82"/>
        <v>0</v>
      </c>
      <c r="AM366" s="52">
        <f t="shared" si="84"/>
        <v>58631.53</v>
      </c>
      <c r="AN366" s="51">
        <f t="shared" si="85"/>
        <v>58631.53</v>
      </c>
      <c r="AO366" s="51">
        <f t="shared" si="83"/>
        <v>0</v>
      </c>
      <c r="AP366" s="125"/>
      <c r="AQ366" s="52">
        <v>25272.21</v>
      </c>
      <c r="AR366" s="52">
        <v>25272.21</v>
      </c>
      <c r="AS366" s="51">
        <f t="shared" si="81"/>
        <v>0</v>
      </c>
      <c r="AT366" s="126">
        <f t="shared" si="92"/>
        <v>0</v>
      </c>
      <c r="AU366" s="109"/>
      <c r="AV366" s="67"/>
      <c r="AW366" s="4"/>
      <c r="AX366" s="4"/>
      <c r="AY366" s="4"/>
      <c r="AZ366" s="4"/>
      <c r="BA366" s="4"/>
      <c r="BB366" s="4"/>
    </row>
    <row r="367" spans="1:54" ht="20.25" hidden="1" customHeight="1" x14ac:dyDescent="0.2">
      <c r="A367" s="32">
        <v>636</v>
      </c>
      <c r="B367" s="94" t="s">
        <v>1520</v>
      </c>
      <c r="C367" s="116" t="s">
        <v>1521</v>
      </c>
      <c r="D367" s="107">
        <v>507</v>
      </c>
      <c r="E367" s="253" t="s">
        <v>1522</v>
      </c>
      <c r="F367" s="82" t="s">
        <v>1415</v>
      </c>
      <c r="G367" s="82"/>
      <c r="H367" s="33" t="s">
        <v>1275</v>
      </c>
      <c r="I367" s="107">
        <v>6132</v>
      </c>
      <c r="J367" s="107">
        <v>1</v>
      </c>
      <c r="K367" s="39">
        <v>5</v>
      </c>
      <c r="L367" s="118" t="s">
        <v>1276</v>
      </c>
      <c r="M367" s="147" t="s">
        <v>250</v>
      </c>
      <c r="N367" s="42" t="s">
        <v>76</v>
      </c>
      <c r="O367" s="148" t="s">
        <v>252</v>
      </c>
      <c r="P367" s="46" t="s">
        <v>331</v>
      </c>
      <c r="Q367" s="46" t="s">
        <v>886</v>
      </c>
      <c r="R367" s="256" t="s">
        <v>1523</v>
      </c>
      <c r="S367" s="45">
        <f t="shared" si="93"/>
        <v>440963.36</v>
      </c>
      <c r="T367" s="45">
        <f>442709-1745.64</f>
        <v>440963.36</v>
      </c>
      <c r="U367" s="45">
        <v>0</v>
      </c>
      <c r="V367" s="109" t="s">
        <v>1278</v>
      </c>
      <c r="W367" s="63">
        <v>41942</v>
      </c>
      <c r="X367" s="48"/>
      <c r="Y367" s="109" t="s">
        <v>234</v>
      </c>
      <c r="Z367" s="45"/>
      <c r="AA367" s="45"/>
      <c r="AB367" s="45">
        <f t="shared" si="94"/>
        <v>0</v>
      </c>
      <c r="AC367" s="48"/>
      <c r="AD367" s="63"/>
      <c r="AE367" s="51">
        <f t="shared" si="89"/>
        <v>0</v>
      </c>
      <c r="AF367" s="52">
        <f t="shared" si="90"/>
        <v>0</v>
      </c>
      <c r="AG367" s="52">
        <v>440963.36</v>
      </c>
      <c r="AH367" s="52">
        <f>220481.68+220481.68</f>
        <v>440963.36</v>
      </c>
      <c r="AI367" s="52">
        <f t="shared" si="91"/>
        <v>0</v>
      </c>
      <c r="AJ367" s="124">
        <v>0</v>
      </c>
      <c r="AK367" s="45">
        <v>0</v>
      </c>
      <c r="AL367" s="52">
        <f t="shared" si="82"/>
        <v>0</v>
      </c>
      <c r="AM367" s="52">
        <f t="shared" si="84"/>
        <v>440963.36</v>
      </c>
      <c r="AN367" s="51">
        <f t="shared" si="85"/>
        <v>440963.36</v>
      </c>
      <c r="AO367" s="51">
        <f t="shared" si="83"/>
        <v>0</v>
      </c>
      <c r="AP367" s="125" t="s">
        <v>83</v>
      </c>
      <c r="AQ367" s="52">
        <v>190070.41</v>
      </c>
      <c r="AR367" s="52">
        <v>190070.41</v>
      </c>
      <c r="AS367" s="51">
        <f t="shared" si="81"/>
        <v>0</v>
      </c>
      <c r="AT367" s="126">
        <f t="shared" si="92"/>
        <v>0</v>
      </c>
      <c r="AU367" s="48"/>
      <c r="AV367" s="46"/>
    </row>
    <row r="368" spans="1:54" ht="20.25" hidden="1" customHeight="1" x14ac:dyDescent="0.2">
      <c r="A368" s="32">
        <v>636</v>
      </c>
      <c r="B368" s="94" t="s">
        <v>1520</v>
      </c>
      <c r="C368" s="116" t="s">
        <v>1521</v>
      </c>
      <c r="D368" s="107">
        <v>508</v>
      </c>
      <c r="E368" s="255"/>
      <c r="F368" s="37" t="s">
        <v>59</v>
      </c>
      <c r="G368" s="36"/>
      <c r="H368" s="33" t="s">
        <v>60</v>
      </c>
      <c r="I368" s="107">
        <v>6132</v>
      </c>
      <c r="J368" s="107">
        <v>1</v>
      </c>
      <c r="K368" s="39">
        <v>2</v>
      </c>
      <c r="L368" s="40" t="s">
        <v>61</v>
      </c>
      <c r="M368" s="147" t="s">
        <v>250</v>
      </c>
      <c r="N368" s="42" t="s">
        <v>76</v>
      </c>
      <c r="O368" s="148" t="s">
        <v>252</v>
      </c>
      <c r="P368" s="46" t="s">
        <v>331</v>
      </c>
      <c r="Q368" s="46" t="s">
        <v>886</v>
      </c>
      <c r="R368" s="258"/>
      <c r="S368" s="45">
        <f t="shared" si="93"/>
        <v>293975.58</v>
      </c>
      <c r="T368" s="45">
        <f>295139-1163.42</f>
        <v>293975.58</v>
      </c>
      <c r="U368" s="45">
        <v>0</v>
      </c>
      <c r="V368" s="67" t="s">
        <v>1279</v>
      </c>
      <c r="W368" s="47" t="s">
        <v>1280</v>
      </c>
      <c r="X368" s="48"/>
      <c r="Y368" s="109" t="s">
        <v>234</v>
      </c>
      <c r="Z368" s="45"/>
      <c r="AA368" s="45"/>
      <c r="AB368" s="45">
        <f t="shared" si="94"/>
        <v>0</v>
      </c>
      <c r="AC368" s="48"/>
      <c r="AD368" s="63"/>
      <c r="AE368" s="51">
        <f t="shared" si="89"/>
        <v>0</v>
      </c>
      <c r="AF368" s="52">
        <f t="shared" si="90"/>
        <v>0</v>
      </c>
      <c r="AG368" s="52">
        <v>293975.58</v>
      </c>
      <c r="AH368" s="52">
        <f>146987.79+146987.79</f>
        <v>293975.58</v>
      </c>
      <c r="AI368" s="52">
        <f t="shared" si="91"/>
        <v>0</v>
      </c>
      <c r="AJ368" s="124">
        <v>0</v>
      </c>
      <c r="AK368" s="45">
        <v>0</v>
      </c>
      <c r="AL368" s="52">
        <f t="shared" si="82"/>
        <v>0</v>
      </c>
      <c r="AM368" s="52">
        <f t="shared" si="84"/>
        <v>293975.58</v>
      </c>
      <c r="AN368" s="51">
        <f t="shared" si="85"/>
        <v>293975.58</v>
      </c>
      <c r="AO368" s="51">
        <f t="shared" si="83"/>
        <v>0</v>
      </c>
      <c r="AP368" s="125" t="s">
        <v>83</v>
      </c>
      <c r="AQ368" s="52">
        <v>126713.62</v>
      </c>
      <c r="AR368" s="52">
        <v>126713.62</v>
      </c>
      <c r="AS368" s="51">
        <f t="shared" si="81"/>
        <v>0</v>
      </c>
      <c r="AT368" s="126">
        <f t="shared" si="92"/>
        <v>0</v>
      </c>
      <c r="AU368" s="48"/>
      <c r="AV368" s="46"/>
    </row>
    <row r="369" spans="1:48" ht="30" hidden="1" customHeight="1" x14ac:dyDescent="0.2">
      <c r="A369" s="32">
        <v>636</v>
      </c>
      <c r="B369" s="122" t="s">
        <v>1524</v>
      </c>
      <c r="C369" s="116"/>
      <c r="D369" s="107">
        <v>643</v>
      </c>
      <c r="E369" s="46" t="s">
        <v>1525</v>
      </c>
      <c r="F369" s="46"/>
      <c r="G369" s="46"/>
      <c r="H369" s="33" t="s">
        <v>764</v>
      </c>
      <c r="I369" s="107">
        <v>6123</v>
      </c>
      <c r="J369" s="107"/>
      <c r="K369" s="39">
        <v>2.2000000000000002</v>
      </c>
      <c r="L369" s="40" t="s">
        <v>765</v>
      </c>
      <c r="M369" s="147" t="s">
        <v>62</v>
      </c>
      <c r="N369" s="117" t="s">
        <v>1334</v>
      </c>
      <c r="O369" s="148" t="s">
        <v>1526</v>
      </c>
      <c r="P369" s="46" t="s">
        <v>229</v>
      </c>
      <c r="Q369" s="46" t="s">
        <v>1527</v>
      </c>
      <c r="R369" s="33" t="s">
        <v>1528</v>
      </c>
      <c r="S369" s="45">
        <f t="shared" si="93"/>
        <v>1000000</v>
      </c>
      <c r="T369" s="45">
        <v>974789.92</v>
      </c>
      <c r="U369" s="45">
        <v>25210.080000000002</v>
      </c>
      <c r="V369" s="109" t="s">
        <v>1529</v>
      </c>
      <c r="W369" s="63">
        <v>41953</v>
      </c>
      <c r="X369" s="48"/>
      <c r="Y369" s="109" t="s">
        <v>1446</v>
      </c>
      <c r="Z369" s="45">
        <v>25207.93</v>
      </c>
      <c r="AA369" s="45">
        <f>13132.07+5014.97+4719.17+1874.27+390</f>
        <v>25130.48</v>
      </c>
      <c r="AB369" s="45">
        <f t="shared" si="94"/>
        <v>77.450000000000728</v>
      </c>
      <c r="AC369" s="48" t="s">
        <v>102</v>
      </c>
      <c r="AD369" s="63">
        <v>42165</v>
      </c>
      <c r="AE369" s="51">
        <f t="shared" si="89"/>
        <v>2.1500000000014552</v>
      </c>
      <c r="AF369" s="52">
        <f t="shared" si="90"/>
        <v>83.369999999995343</v>
      </c>
      <c r="AG369" s="52">
        <v>974706.55</v>
      </c>
      <c r="AH369" s="52">
        <v>768361.91</v>
      </c>
      <c r="AI369" s="52">
        <f t="shared" si="91"/>
        <v>206344.64</v>
      </c>
      <c r="AJ369" s="124">
        <v>0</v>
      </c>
      <c r="AK369" s="45">
        <v>0</v>
      </c>
      <c r="AL369" s="52">
        <f t="shared" si="82"/>
        <v>0</v>
      </c>
      <c r="AM369" s="52">
        <f t="shared" si="84"/>
        <v>999914.4800000001</v>
      </c>
      <c r="AN369" s="51">
        <f t="shared" si="85"/>
        <v>793492.39</v>
      </c>
      <c r="AO369" s="51">
        <f t="shared" si="83"/>
        <v>206422.09000000008</v>
      </c>
      <c r="AP369" s="125" t="s">
        <v>146</v>
      </c>
      <c r="AQ369" s="52"/>
      <c r="AR369" s="51"/>
      <c r="AS369" s="51">
        <f t="shared" si="81"/>
        <v>0</v>
      </c>
      <c r="AT369" s="126">
        <f t="shared" si="92"/>
        <v>206507.61</v>
      </c>
      <c r="AU369" s="48"/>
      <c r="AV369" s="46"/>
    </row>
    <row r="370" spans="1:48" ht="26.45" hidden="1" customHeight="1" x14ac:dyDescent="0.2">
      <c r="A370" s="32">
        <v>636</v>
      </c>
      <c r="B370" s="122" t="s">
        <v>1530</v>
      </c>
      <c r="C370" s="116"/>
      <c r="D370" s="107"/>
      <c r="E370" s="46" t="s">
        <v>1531</v>
      </c>
      <c r="F370" s="46"/>
      <c r="G370" s="46" t="s">
        <v>379</v>
      </c>
      <c r="H370" s="105"/>
      <c r="I370" s="107">
        <v>6122</v>
      </c>
      <c r="J370" s="107"/>
      <c r="K370" s="39">
        <v>2</v>
      </c>
      <c r="L370" s="40" t="s">
        <v>61</v>
      </c>
      <c r="M370" s="147" t="s">
        <v>278</v>
      </c>
      <c r="N370" s="42" t="s">
        <v>76</v>
      </c>
      <c r="O370" s="148" t="s">
        <v>279</v>
      </c>
      <c r="P370" s="46" t="s">
        <v>1249</v>
      </c>
      <c r="Q370" s="46" t="s">
        <v>1532</v>
      </c>
      <c r="R370" s="33" t="s">
        <v>168</v>
      </c>
      <c r="S370" s="45">
        <f t="shared" si="93"/>
        <v>0</v>
      </c>
      <c r="T370" s="45">
        <f>982752.12-982752.12</f>
        <v>0</v>
      </c>
      <c r="U370" s="45">
        <f>16944-16944</f>
        <v>0</v>
      </c>
      <c r="V370" s="109" t="s">
        <v>1056</v>
      </c>
      <c r="W370" s="63">
        <v>42124</v>
      </c>
      <c r="X370" s="48"/>
      <c r="Y370" s="109" t="s">
        <v>1337</v>
      </c>
      <c r="Z370" s="45"/>
      <c r="AA370" s="45"/>
      <c r="AB370" s="45">
        <f t="shared" si="94"/>
        <v>0</v>
      </c>
      <c r="AC370" s="48"/>
      <c r="AD370" s="63"/>
      <c r="AE370" s="51">
        <f t="shared" si="89"/>
        <v>0</v>
      </c>
      <c r="AF370" s="52">
        <f t="shared" si="90"/>
        <v>0</v>
      </c>
      <c r="AG370" s="52"/>
      <c r="AH370" s="52"/>
      <c r="AI370" s="52">
        <f t="shared" si="91"/>
        <v>0</v>
      </c>
      <c r="AJ370" s="124">
        <v>0</v>
      </c>
      <c r="AK370" s="45">
        <v>0</v>
      </c>
      <c r="AL370" s="52">
        <f t="shared" si="82"/>
        <v>0</v>
      </c>
      <c r="AM370" s="52">
        <f t="shared" si="84"/>
        <v>0</v>
      </c>
      <c r="AN370" s="51">
        <f t="shared" si="85"/>
        <v>0</v>
      </c>
      <c r="AO370" s="51">
        <f t="shared" si="83"/>
        <v>0</v>
      </c>
      <c r="AP370" s="125"/>
      <c r="AQ370" s="52"/>
      <c r="AR370" s="51"/>
      <c r="AS370" s="51">
        <f t="shared" si="81"/>
        <v>0</v>
      </c>
      <c r="AT370" s="51">
        <f t="shared" si="92"/>
        <v>0</v>
      </c>
      <c r="AU370" s="48"/>
      <c r="AV370" s="46"/>
    </row>
    <row r="371" spans="1:48" ht="36.75" hidden="1" customHeight="1" x14ac:dyDescent="0.2">
      <c r="A371" s="151">
        <v>639</v>
      </c>
      <c r="B371" s="122" t="s">
        <v>1533</v>
      </c>
      <c r="C371" s="116"/>
      <c r="D371" s="107">
        <v>494</v>
      </c>
      <c r="E371" s="46" t="s">
        <v>1534</v>
      </c>
      <c r="F371" s="37" t="s">
        <v>59</v>
      </c>
      <c r="G371" s="46" t="s">
        <v>951</v>
      </c>
      <c r="H371" s="33" t="s">
        <v>576</v>
      </c>
      <c r="I371" s="107">
        <v>6222</v>
      </c>
      <c r="J371" s="39"/>
      <c r="K371" s="39" t="s">
        <v>577</v>
      </c>
      <c r="L371" s="40" t="s">
        <v>1027</v>
      </c>
      <c r="M371" s="147" t="s">
        <v>75</v>
      </c>
      <c r="N371" s="42" t="s">
        <v>76</v>
      </c>
      <c r="O371" s="41" t="s">
        <v>77</v>
      </c>
      <c r="P371" s="46" t="s">
        <v>104</v>
      </c>
      <c r="Q371" s="46" t="s">
        <v>1535</v>
      </c>
      <c r="R371" s="33" t="s">
        <v>1536</v>
      </c>
      <c r="S371" s="45">
        <f t="shared" si="93"/>
        <v>701728.42</v>
      </c>
      <c r="T371" s="45">
        <f>703953.52-2225.1</f>
        <v>701728.42</v>
      </c>
      <c r="U371" s="45">
        <v>0</v>
      </c>
      <c r="V371" s="166" t="s">
        <v>1537</v>
      </c>
      <c r="W371" s="167" t="s">
        <v>1538</v>
      </c>
      <c r="X371" s="48"/>
      <c r="Y371" s="109" t="s">
        <v>234</v>
      </c>
      <c r="Z371" s="45"/>
      <c r="AA371" s="45"/>
      <c r="AB371" s="45">
        <f t="shared" si="94"/>
        <v>0</v>
      </c>
      <c r="AC371" s="48"/>
      <c r="AD371" s="63"/>
      <c r="AE371" s="51">
        <f t="shared" si="89"/>
        <v>0</v>
      </c>
      <c r="AF371" s="52">
        <f t="shared" si="90"/>
        <v>0</v>
      </c>
      <c r="AG371" s="52">
        <v>701728.42</v>
      </c>
      <c r="AH371" s="52">
        <f>210518.53+287059.88+204150.01</f>
        <v>701728.42</v>
      </c>
      <c r="AI371" s="52">
        <f t="shared" si="91"/>
        <v>0</v>
      </c>
      <c r="AJ371" s="124">
        <v>0</v>
      </c>
      <c r="AK371" s="45">
        <v>0</v>
      </c>
      <c r="AL371" s="52">
        <f t="shared" si="82"/>
        <v>0</v>
      </c>
      <c r="AM371" s="52">
        <f t="shared" si="84"/>
        <v>701728.42</v>
      </c>
      <c r="AN371" s="51">
        <f t="shared" si="85"/>
        <v>701728.42</v>
      </c>
      <c r="AO371" s="51">
        <f t="shared" si="83"/>
        <v>0</v>
      </c>
      <c r="AP371" s="125" t="s">
        <v>333</v>
      </c>
      <c r="AQ371" s="52">
        <v>181481.49</v>
      </c>
      <c r="AR371" s="51">
        <f>106056.6+75424.89</f>
        <v>181481.49</v>
      </c>
      <c r="AS371" s="51">
        <f t="shared" si="81"/>
        <v>0</v>
      </c>
      <c r="AT371" s="126">
        <f t="shared" si="92"/>
        <v>0</v>
      </c>
      <c r="AU371" s="48"/>
      <c r="AV371" s="46"/>
    </row>
    <row r="372" spans="1:48" ht="20.25" hidden="1" customHeight="1" x14ac:dyDescent="0.2">
      <c r="A372" s="32">
        <v>636</v>
      </c>
      <c r="B372" s="122" t="s">
        <v>1539</v>
      </c>
      <c r="C372" s="116"/>
      <c r="D372" s="107">
        <v>604</v>
      </c>
      <c r="E372" s="46" t="s">
        <v>1540</v>
      </c>
      <c r="F372" s="46"/>
      <c r="G372" s="46" t="s">
        <v>763</v>
      </c>
      <c r="H372" s="33" t="s">
        <v>60</v>
      </c>
      <c r="I372" s="107">
        <v>6122</v>
      </c>
      <c r="J372" s="107"/>
      <c r="K372" s="39">
        <v>2</v>
      </c>
      <c r="L372" s="40" t="s">
        <v>61</v>
      </c>
      <c r="M372" s="147" t="s">
        <v>278</v>
      </c>
      <c r="N372" s="42" t="s">
        <v>76</v>
      </c>
      <c r="O372" s="148" t="s">
        <v>1541</v>
      </c>
      <c r="P372" s="46" t="s">
        <v>104</v>
      </c>
      <c r="Q372" s="46" t="s">
        <v>1443</v>
      </c>
      <c r="R372" s="33" t="s">
        <v>1542</v>
      </c>
      <c r="S372" s="45">
        <f t="shared" si="93"/>
        <v>184425.71000000002</v>
      </c>
      <c r="T372" s="45">
        <v>179776.32</v>
      </c>
      <c r="U372" s="45">
        <v>4649.3900000000003</v>
      </c>
      <c r="V372" s="109" t="s">
        <v>1445</v>
      </c>
      <c r="W372" s="63">
        <v>41949</v>
      </c>
      <c r="X372" s="48"/>
      <c r="Y372" s="109" t="s">
        <v>1446</v>
      </c>
      <c r="Z372" s="45">
        <v>4587.03</v>
      </c>
      <c r="AA372" s="45">
        <v>2403.73</v>
      </c>
      <c r="AB372" s="45">
        <f t="shared" si="94"/>
        <v>2183.2999999999997</v>
      </c>
      <c r="AC372" s="48" t="s">
        <v>93</v>
      </c>
      <c r="AD372" s="63">
        <v>42083</v>
      </c>
      <c r="AE372" s="51">
        <f t="shared" si="89"/>
        <v>62.360000000000582</v>
      </c>
      <c r="AF372" s="52">
        <f t="shared" si="90"/>
        <v>2411.0400000000081</v>
      </c>
      <c r="AG372" s="52">
        <v>177365.28</v>
      </c>
      <c r="AH372" s="52">
        <v>53209.58</v>
      </c>
      <c r="AI372" s="52">
        <f t="shared" si="91"/>
        <v>124155.7</v>
      </c>
      <c r="AJ372" s="124">
        <v>0</v>
      </c>
      <c r="AK372" s="45">
        <v>0</v>
      </c>
      <c r="AL372" s="52">
        <f t="shared" si="82"/>
        <v>0</v>
      </c>
      <c r="AM372" s="52">
        <f t="shared" si="84"/>
        <v>181952.31</v>
      </c>
      <c r="AN372" s="51">
        <f t="shared" si="85"/>
        <v>55613.310000000005</v>
      </c>
      <c r="AO372" s="51">
        <f t="shared" si="83"/>
        <v>126339</v>
      </c>
      <c r="AP372" s="125"/>
      <c r="AQ372" s="52">
        <v>45870.33</v>
      </c>
      <c r="AR372" s="51"/>
      <c r="AS372" s="51">
        <f t="shared" si="81"/>
        <v>45870.33</v>
      </c>
      <c r="AT372" s="51">
        <f t="shared" si="92"/>
        <v>128812.40000000002</v>
      </c>
      <c r="AU372" s="48"/>
      <c r="AV372" s="46"/>
    </row>
    <row r="373" spans="1:48" ht="31.15" hidden="1" customHeight="1" x14ac:dyDescent="0.2">
      <c r="A373" s="151">
        <v>639</v>
      </c>
      <c r="B373" s="122" t="s">
        <v>1543</v>
      </c>
      <c r="C373" s="116"/>
      <c r="D373" s="107">
        <v>391</v>
      </c>
      <c r="E373" s="46" t="s">
        <v>1544</v>
      </c>
      <c r="F373" s="37" t="s">
        <v>59</v>
      </c>
      <c r="G373" s="46"/>
      <c r="H373" s="33" t="s">
        <v>1545</v>
      </c>
      <c r="I373" s="107">
        <v>6222</v>
      </c>
      <c r="J373" s="107"/>
      <c r="K373" s="39">
        <v>2.2999999999999998</v>
      </c>
      <c r="L373" s="40" t="s">
        <v>210</v>
      </c>
      <c r="M373" s="147" t="s">
        <v>75</v>
      </c>
      <c r="N373" s="42" t="s">
        <v>63</v>
      </c>
      <c r="O373" s="41" t="s">
        <v>77</v>
      </c>
      <c r="P373" s="46" t="s">
        <v>1389</v>
      </c>
      <c r="Q373" s="46" t="s">
        <v>1546</v>
      </c>
      <c r="R373" s="33" t="s">
        <v>1547</v>
      </c>
      <c r="S373" s="45">
        <f t="shared" si="93"/>
        <v>326761.57</v>
      </c>
      <c r="T373" s="45">
        <f>330000-3238.43</f>
        <v>326761.57</v>
      </c>
      <c r="U373" s="45">
        <v>0</v>
      </c>
      <c r="V373" s="67" t="s">
        <v>1548</v>
      </c>
      <c r="W373" s="47" t="s">
        <v>1549</v>
      </c>
      <c r="X373" s="48"/>
      <c r="Y373" s="109" t="s">
        <v>234</v>
      </c>
      <c r="Z373" s="45"/>
      <c r="AA373" s="45"/>
      <c r="AB373" s="45">
        <f t="shared" si="94"/>
        <v>0</v>
      </c>
      <c r="AC373" s="48"/>
      <c r="AD373" s="63"/>
      <c r="AE373" s="51">
        <f t="shared" si="89"/>
        <v>0</v>
      </c>
      <c r="AF373" s="52">
        <f t="shared" si="90"/>
        <v>0</v>
      </c>
      <c r="AG373" s="52">
        <v>326761.57</v>
      </c>
      <c r="AH373" s="52">
        <f>98028.47+116252.89+112480.21</f>
        <v>326761.57</v>
      </c>
      <c r="AI373" s="52">
        <f t="shared" si="91"/>
        <v>0</v>
      </c>
      <c r="AJ373" s="124">
        <v>0</v>
      </c>
      <c r="AK373" s="45">
        <v>0</v>
      </c>
      <c r="AL373" s="52">
        <f t="shared" si="82"/>
        <v>0</v>
      </c>
      <c r="AM373" s="52">
        <f t="shared" si="84"/>
        <v>326761.57</v>
      </c>
      <c r="AN373" s="51">
        <f t="shared" si="85"/>
        <v>326761.57</v>
      </c>
      <c r="AO373" s="51">
        <f t="shared" si="83"/>
        <v>0</v>
      </c>
      <c r="AP373" s="125" t="s">
        <v>205</v>
      </c>
      <c r="AQ373" s="52">
        <v>84507.3</v>
      </c>
      <c r="AR373" s="51">
        <f>42950.57+41556.73</f>
        <v>84507.3</v>
      </c>
      <c r="AS373" s="51">
        <f t="shared" si="81"/>
        <v>0</v>
      </c>
      <c r="AT373" s="126">
        <f t="shared" si="92"/>
        <v>0</v>
      </c>
      <c r="AU373" s="48"/>
      <c r="AV373" s="46"/>
    </row>
    <row r="374" spans="1:48" ht="20.25" hidden="1" customHeight="1" x14ac:dyDescent="0.2">
      <c r="A374" s="32">
        <v>636</v>
      </c>
      <c r="B374" s="94" t="s">
        <v>1550</v>
      </c>
      <c r="C374" s="116" t="s">
        <v>1551</v>
      </c>
      <c r="D374" s="107">
        <v>632</v>
      </c>
      <c r="E374" s="253" t="s">
        <v>1552</v>
      </c>
      <c r="F374" s="82"/>
      <c r="G374" s="82"/>
      <c r="H374" s="33" t="s">
        <v>1275</v>
      </c>
      <c r="I374" s="107">
        <v>6142</v>
      </c>
      <c r="J374" s="107">
        <v>1</v>
      </c>
      <c r="K374" s="39">
        <v>5</v>
      </c>
      <c r="L374" s="118" t="s">
        <v>1276</v>
      </c>
      <c r="M374" s="147" t="s">
        <v>1281</v>
      </c>
      <c r="N374" s="42" t="s">
        <v>76</v>
      </c>
      <c r="O374" s="148" t="s">
        <v>97</v>
      </c>
      <c r="P374" s="46" t="s">
        <v>331</v>
      </c>
      <c r="Q374" s="46" t="s">
        <v>886</v>
      </c>
      <c r="R374" s="256" t="s">
        <v>1553</v>
      </c>
      <c r="S374" s="45">
        <f t="shared" si="93"/>
        <v>351036.52</v>
      </c>
      <c r="T374" s="45">
        <f>352144-1107.48</f>
        <v>351036.52</v>
      </c>
      <c r="U374" s="45">
        <v>0</v>
      </c>
      <c r="V374" s="109" t="s">
        <v>1282</v>
      </c>
      <c r="W374" s="63">
        <v>41953</v>
      </c>
      <c r="X374" s="48"/>
      <c r="Y374" s="109" t="s">
        <v>234</v>
      </c>
      <c r="Z374" s="45"/>
      <c r="AA374" s="45"/>
      <c r="AB374" s="45">
        <f t="shared" si="94"/>
        <v>0</v>
      </c>
      <c r="AC374" s="48"/>
      <c r="AD374" s="63"/>
      <c r="AE374" s="51">
        <f t="shared" si="89"/>
        <v>0</v>
      </c>
      <c r="AF374" s="52">
        <f t="shared" si="90"/>
        <v>0</v>
      </c>
      <c r="AG374" s="52">
        <v>351036.52</v>
      </c>
      <c r="AH374" s="52">
        <f>175518.26+175518.26</f>
        <v>351036.52</v>
      </c>
      <c r="AI374" s="52">
        <f t="shared" si="91"/>
        <v>0</v>
      </c>
      <c r="AJ374" s="124">
        <v>0</v>
      </c>
      <c r="AK374" s="45">
        <v>0</v>
      </c>
      <c r="AL374" s="52">
        <f t="shared" si="82"/>
        <v>0</v>
      </c>
      <c r="AM374" s="52">
        <f t="shared" si="84"/>
        <v>351036.52</v>
      </c>
      <c r="AN374" s="51">
        <f t="shared" si="85"/>
        <v>351036.52</v>
      </c>
      <c r="AO374" s="51">
        <f t="shared" si="83"/>
        <v>0</v>
      </c>
      <c r="AP374" s="125"/>
      <c r="AQ374" s="52">
        <v>151308.84</v>
      </c>
      <c r="AR374" s="52">
        <v>151308.84</v>
      </c>
      <c r="AS374" s="51">
        <f t="shared" si="81"/>
        <v>0</v>
      </c>
      <c r="AT374" s="126">
        <f t="shared" si="92"/>
        <v>0</v>
      </c>
      <c r="AU374" s="48"/>
      <c r="AV374" s="46"/>
    </row>
    <row r="375" spans="1:48" ht="20.25" hidden="1" customHeight="1" x14ac:dyDescent="0.2">
      <c r="A375" s="32">
        <v>636</v>
      </c>
      <c r="B375" s="94" t="s">
        <v>1550</v>
      </c>
      <c r="C375" s="116" t="s">
        <v>1551</v>
      </c>
      <c r="D375" s="107">
        <v>633</v>
      </c>
      <c r="E375" s="255"/>
      <c r="F375" s="36"/>
      <c r="G375" s="36"/>
      <c r="H375" s="33" t="s">
        <v>60</v>
      </c>
      <c r="I375" s="107">
        <v>6142</v>
      </c>
      <c r="J375" s="107">
        <v>1</v>
      </c>
      <c r="K375" s="39">
        <v>2</v>
      </c>
      <c r="L375" s="40" t="s">
        <v>61</v>
      </c>
      <c r="M375" s="147" t="s">
        <v>1281</v>
      </c>
      <c r="N375" s="42" t="s">
        <v>76</v>
      </c>
      <c r="O375" s="148" t="s">
        <v>97</v>
      </c>
      <c r="P375" s="46" t="s">
        <v>331</v>
      </c>
      <c r="Q375" s="46" t="s">
        <v>886</v>
      </c>
      <c r="R375" s="257"/>
      <c r="S375" s="45">
        <f t="shared" si="93"/>
        <v>234762</v>
      </c>
      <c r="T375" s="45">
        <v>234762</v>
      </c>
      <c r="U375" s="45">
        <v>0</v>
      </c>
      <c r="V375" s="109" t="s">
        <v>1282</v>
      </c>
      <c r="W375" s="63">
        <v>41953</v>
      </c>
      <c r="X375" s="48"/>
      <c r="Y375" s="109" t="s">
        <v>234</v>
      </c>
      <c r="Z375" s="45"/>
      <c r="AA375" s="45"/>
      <c r="AB375" s="45">
        <f t="shared" si="94"/>
        <v>0</v>
      </c>
      <c r="AC375" s="48"/>
      <c r="AD375" s="63"/>
      <c r="AE375" s="51">
        <f t="shared" si="89"/>
        <v>0</v>
      </c>
      <c r="AF375" s="52">
        <f t="shared" si="90"/>
        <v>737.66000000000349</v>
      </c>
      <c r="AG375" s="52">
        <v>234024.34</v>
      </c>
      <c r="AH375" s="52">
        <f>117012.17+117012.17</f>
        <v>234024.34</v>
      </c>
      <c r="AI375" s="52">
        <f t="shared" si="91"/>
        <v>0</v>
      </c>
      <c r="AJ375" s="124">
        <v>0</v>
      </c>
      <c r="AK375" s="45">
        <v>0</v>
      </c>
      <c r="AL375" s="52">
        <f t="shared" si="82"/>
        <v>0</v>
      </c>
      <c r="AM375" s="52">
        <f t="shared" si="84"/>
        <v>234024.34</v>
      </c>
      <c r="AN375" s="51">
        <f t="shared" si="85"/>
        <v>234024.34</v>
      </c>
      <c r="AO375" s="51">
        <f t="shared" si="83"/>
        <v>0</v>
      </c>
      <c r="AP375" s="125"/>
      <c r="AQ375" s="52">
        <v>100872.56</v>
      </c>
      <c r="AR375" s="52">
        <v>100872.56</v>
      </c>
      <c r="AS375" s="51">
        <f t="shared" ref="AS375:AS440" si="95">SUM(AQ375-AR375)</f>
        <v>0</v>
      </c>
      <c r="AT375" s="126">
        <f t="shared" si="92"/>
        <v>737.66000000000349</v>
      </c>
      <c r="AU375" s="48"/>
      <c r="AV375" s="46"/>
    </row>
    <row r="376" spans="1:48" ht="20.25" hidden="1" customHeight="1" x14ac:dyDescent="0.2">
      <c r="A376" s="32">
        <v>636</v>
      </c>
      <c r="B376" s="94" t="s">
        <v>1554</v>
      </c>
      <c r="C376" s="116" t="s">
        <v>1555</v>
      </c>
      <c r="D376" s="107"/>
      <c r="E376" s="253" t="s">
        <v>1556</v>
      </c>
      <c r="F376" s="82"/>
      <c r="G376" s="82"/>
      <c r="H376" s="33" t="s">
        <v>1275</v>
      </c>
      <c r="I376" s="107">
        <v>6132</v>
      </c>
      <c r="J376" s="107">
        <v>1</v>
      </c>
      <c r="K376" s="39">
        <v>5</v>
      </c>
      <c r="L376" s="118" t="s">
        <v>1276</v>
      </c>
      <c r="M376" s="147" t="s">
        <v>250</v>
      </c>
      <c r="N376" s="42" t="s">
        <v>76</v>
      </c>
      <c r="O376" s="148" t="s">
        <v>252</v>
      </c>
      <c r="P376" s="46" t="s">
        <v>331</v>
      </c>
      <c r="Q376" s="46" t="s">
        <v>886</v>
      </c>
      <c r="R376" s="257"/>
      <c r="S376" s="45">
        <f t="shared" si="93"/>
        <v>342107.61</v>
      </c>
      <c r="T376" s="45">
        <f>343295-1187.39</f>
        <v>342107.61</v>
      </c>
      <c r="U376" s="45">
        <v>0</v>
      </c>
      <c r="V376" s="109" t="s">
        <v>1557</v>
      </c>
      <c r="W376" s="63">
        <v>42004</v>
      </c>
      <c r="X376" s="48"/>
      <c r="Y376" s="109" t="s">
        <v>234</v>
      </c>
      <c r="Z376" s="45"/>
      <c r="AA376" s="45"/>
      <c r="AB376" s="45">
        <f t="shared" si="94"/>
        <v>0</v>
      </c>
      <c r="AC376" s="48"/>
      <c r="AD376" s="63"/>
      <c r="AE376" s="51">
        <f t="shared" si="89"/>
        <v>0</v>
      </c>
      <c r="AF376" s="52">
        <f t="shared" si="90"/>
        <v>0</v>
      </c>
      <c r="AG376" s="52">
        <v>342107.61</v>
      </c>
      <c r="AH376" s="52">
        <f>171053.81+171053.8</f>
        <v>342107.61</v>
      </c>
      <c r="AI376" s="52">
        <f t="shared" si="91"/>
        <v>0</v>
      </c>
      <c r="AJ376" s="124">
        <v>0</v>
      </c>
      <c r="AK376" s="45">
        <v>0</v>
      </c>
      <c r="AL376" s="52">
        <f t="shared" si="82"/>
        <v>0</v>
      </c>
      <c r="AM376" s="52">
        <f t="shared" si="84"/>
        <v>342107.61</v>
      </c>
      <c r="AN376" s="51">
        <f t="shared" si="85"/>
        <v>342107.61</v>
      </c>
      <c r="AO376" s="51">
        <f t="shared" si="83"/>
        <v>0</v>
      </c>
      <c r="AP376" s="125"/>
      <c r="AQ376" s="52">
        <v>147460.18</v>
      </c>
      <c r="AR376" s="52">
        <v>147460.18</v>
      </c>
      <c r="AS376" s="51">
        <f t="shared" si="95"/>
        <v>0</v>
      </c>
      <c r="AT376" s="126">
        <f t="shared" si="92"/>
        <v>0</v>
      </c>
      <c r="AU376" s="48"/>
      <c r="AV376" s="46"/>
    </row>
    <row r="377" spans="1:48" ht="20.25" hidden="1" customHeight="1" x14ac:dyDescent="0.2">
      <c r="A377" s="32">
        <v>636</v>
      </c>
      <c r="B377" s="94" t="s">
        <v>1554</v>
      </c>
      <c r="C377" s="116" t="s">
        <v>1555</v>
      </c>
      <c r="D377" s="107"/>
      <c r="E377" s="255"/>
      <c r="F377" s="36"/>
      <c r="G377" s="36"/>
      <c r="H377" s="33" t="s">
        <v>60</v>
      </c>
      <c r="I377" s="107">
        <v>6132</v>
      </c>
      <c r="J377" s="107">
        <v>1</v>
      </c>
      <c r="K377" s="39">
        <v>2</v>
      </c>
      <c r="L377" s="40" t="s">
        <v>61</v>
      </c>
      <c r="M377" s="147" t="s">
        <v>250</v>
      </c>
      <c r="N377" s="42" t="s">
        <v>76</v>
      </c>
      <c r="O377" s="148" t="s">
        <v>252</v>
      </c>
      <c r="P377" s="46" t="s">
        <v>331</v>
      </c>
      <c r="Q377" s="46" t="s">
        <v>886</v>
      </c>
      <c r="R377" s="258"/>
      <c r="S377" s="45">
        <f t="shared" si="93"/>
        <v>228863</v>
      </c>
      <c r="T377" s="45">
        <v>228863</v>
      </c>
      <c r="U377" s="45">
        <v>0</v>
      </c>
      <c r="V377" s="109" t="s">
        <v>1557</v>
      </c>
      <c r="W377" s="63">
        <v>42004</v>
      </c>
      <c r="X377" s="48"/>
      <c r="Y377" s="109" t="s">
        <v>234</v>
      </c>
      <c r="Z377" s="45"/>
      <c r="AA377" s="45"/>
      <c r="AB377" s="45">
        <f t="shared" si="94"/>
        <v>0</v>
      </c>
      <c r="AC377" s="48"/>
      <c r="AD377" s="63"/>
      <c r="AE377" s="51">
        <f t="shared" si="89"/>
        <v>0</v>
      </c>
      <c r="AF377" s="52">
        <f t="shared" si="90"/>
        <v>791.26000000000931</v>
      </c>
      <c r="AG377" s="52">
        <v>228071.74</v>
      </c>
      <c r="AH377" s="52">
        <f>114035.87+114035.87</f>
        <v>228071.74</v>
      </c>
      <c r="AI377" s="52">
        <f t="shared" si="91"/>
        <v>0</v>
      </c>
      <c r="AJ377" s="124">
        <v>0</v>
      </c>
      <c r="AK377" s="45">
        <v>0</v>
      </c>
      <c r="AL377" s="52">
        <f t="shared" si="82"/>
        <v>0</v>
      </c>
      <c r="AM377" s="52">
        <f t="shared" si="84"/>
        <v>228071.74</v>
      </c>
      <c r="AN377" s="51">
        <f t="shared" si="85"/>
        <v>228071.74</v>
      </c>
      <c r="AO377" s="51">
        <f t="shared" si="83"/>
        <v>0</v>
      </c>
      <c r="AP377" s="125"/>
      <c r="AQ377" s="52">
        <v>98306.79</v>
      </c>
      <c r="AR377" s="52">
        <v>98306.79</v>
      </c>
      <c r="AS377" s="51">
        <f t="shared" si="95"/>
        <v>0</v>
      </c>
      <c r="AT377" s="126">
        <f t="shared" si="92"/>
        <v>791.26000000000931</v>
      </c>
      <c r="AU377" s="48"/>
      <c r="AV377" s="46"/>
    </row>
    <row r="378" spans="1:48" ht="20.25" hidden="1" customHeight="1" x14ac:dyDescent="0.2">
      <c r="A378" s="151">
        <v>639</v>
      </c>
      <c r="B378" s="122" t="s">
        <v>1558</v>
      </c>
      <c r="C378" s="116"/>
      <c r="D378" s="107">
        <v>1228</v>
      </c>
      <c r="E378" s="46" t="s">
        <v>1559</v>
      </c>
      <c r="F378" s="46"/>
      <c r="G378" s="46"/>
      <c r="H378" s="33" t="s">
        <v>209</v>
      </c>
      <c r="I378" s="107">
        <v>6222</v>
      </c>
      <c r="J378" s="107"/>
      <c r="K378" s="39">
        <v>2.2999999999999998</v>
      </c>
      <c r="L378" s="40" t="s">
        <v>210</v>
      </c>
      <c r="M378" s="147" t="s">
        <v>1560</v>
      </c>
      <c r="N378" s="42" t="s">
        <v>63</v>
      </c>
      <c r="O378" s="41" t="s">
        <v>77</v>
      </c>
      <c r="P378" s="46" t="s">
        <v>206</v>
      </c>
      <c r="Q378" s="46" t="s">
        <v>1561</v>
      </c>
      <c r="R378" s="33" t="s">
        <v>1562</v>
      </c>
      <c r="S378" s="45">
        <f t="shared" si="93"/>
        <v>288241.74</v>
      </c>
      <c r="T378" s="45">
        <v>288241.74</v>
      </c>
      <c r="U378" s="45">
        <v>0</v>
      </c>
      <c r="V378" s="109" t="s">
        <v>1563</v>
      </c>
      <c r="W378" s="63">
        <v>41968</v>
      </c>
      <c r="X378" s="48"/>
      <c r="Y378" s="109" t="s">
        <v>234</v>
      </c>
      <c r="Z378" s="45"/>
      <c r="AA378" s="45"/>
      <c r="AB378" s="45">
        <f t="shared" si="94"/>
        <v>0</v>
      </c>
      <c r="AC378" s="48"/>
      <c r="AD378" s="63"/>
      <c r="AE378" s="51">
        <f t="shared" si="89"/>
        <v>0</v>
      </c>
      <c r="AF378" s="52">
        <f t="shared" si="90"/>
        <v>2278.0800000000163</v>
      </c>
      <c r="AG378" s="52">
        <v>285963.65999999997</v>
      </c>
      <c r="AH378" s="52">
        <f>85789.1+175804.61+24369.95</f>
        <v>285963.65999999997</v>
      </c>
      <c r="AI378" s="52">
        <f t="shared" si="91"/>
        <v>0</v>
      </c>
      <c r="AJ378" s="124">
        <v>0</v>
      </c>
      <c r="AK378" s="45">
        <v>0</v>
      </c>
      <c r="AL378" s="52">
        <f t="shared" si="82"/>
        <v>0</v>
      </c>
      <c r="AM378" s="52">
        <f t="shared" si="84"/>
        <v>285963.65999999997</v>
      </c>
      <c r="AN378" s="51">
        <f t="shared" si="85"/>
        <v>285963.65999999997</v>
      </c>
      <c r="AO378" s="51">
        <f t="shared" si="83"/>
        <v>0</v>
      </c>
      <c r="AP378" s="125" t="s">
        <v>948</v>
      </c>
      <c r="AQ378" s="52">
        <v>73956.12</v>
      </c>
      <c r="AR378" s="51">
        <f>64952.44+9003.68</f>
        <v>73956.12</v>
      </c>
      <c r="AS378" s="51">
        <f t="shared" si="95"/>
        <v>0</v>
      </c>
      <c r="AT378" s="126">
        <f t="shared" si="92"/>
        <v>2278.0800000000163</v>
      </c>
      <c r="AU378" s="48"/>
      <c r="AV378" s="46"/>
    </row>
    <row r="379" spans="1:48" ht="22.9" hidden="1" customHeight="1" x14ac:dyDescent="0.2">
      <c r="A379" s="151">
        <v>639</v>
      </c>
      <c r="B379" s="122" t="s">
        <v>1564</v>
      </c>
      <c r="C379" s="116"/>
      <c r="D379" s="107">
        <v>1229</v>
      </c>
      <c r="E379" s="46" t="s">
        <v>1565</v>
      </c>
      <c r="F379" s="37" t="s">
        <v>59</v>
      </c>
      <c r="G379" s="46"/>
      <c r="H379" s="33" t="s">
        <v>209</v>
      </c>
      <c r="I379" s="107">
        <v>6222</v>
      </c>
      <c r="J379" s="107"/>
      <c r="K379" s="39">
        <v>2.2999999999999998</v>
      </c>
      <c r="L379" s="40" t="s">
        <v>210</v>
      </c>
      <c r="M379" s="147" t="s">
        <v>1560</v>
      </c>
      <c r="N379" s="42" t="s">
        <v>76</v>
      </c>
      <c r="O379" s="41" t="s">
        <v>77</v>
      </c>
      <c r="P379" s="46" t="s">
        <v>206</v>
      </c>
      <c r="Q379" s="46" t="s">
        <v>588</v>
      </c>
      <c r="R379" s="33" t="s">
        <v>1566</v>
      </c>
      <c r="S379" s="45">
        <f t="shared" si="93"/>
        <v>1643006.19</v>
      </c>
      <c r="T379" s="45">
        <f>1669683.8-26677.61</f>
        <v>1643006.19</v>
      </c>
      <c r="U379" s="45">
        <v>0</v>
      </c>
      <c r="V379" s="67" t="s">
        <v>1567</v>
      </c>
      <c r="W379" s="47" t="s">
        <v>1568</v>
      </c>
      <c r="X379" s="48"/>
      <c r="Y379" s="109" t="s">
        <v>234</v>
      </c>
      <c r="Z379" s="45"/>
      <c r="AA379" s="45"/>
      <c r="AB379" s="45">
        <f t="shared" si="94"/>
        <v>0</v>
      </c>
      <c r="AC379" s="48"/>
      <c r="AD379" s="63"/>
      <c r="AE379" s="51">
        <f t="shared" si="89"/>
        <v>0</v>
      </c>
      <c r="AF379" s="52">
        <f t="shared" si="90"/>
        <v>0</v>
      </c>
      <c r="AG379" s="52">
        <v>1643006.19</v>
      </c>
      <c r="AH379" s="52">
        <f>492901.86+1080810.73+69293.6</f>
        <v>1643006.19</v>
      </c>
      <c r="AI379" s="52">
        <f t="shared" si="91"/>
        <v>0</v>
      </c>
      <c r="AJ379" s="124">
        <v>0</v>
      </c>
      <c r="AK379" s="45">
        <v>0</v>
      </c>
      <c r="AL379" s="52">
        <f t="shared" si="82"/>
        <v>0</v>
      </c>
      <c r="AM379" s="52">
        <f t="shared" si="84"/>
        <v>1643006.19</v>
      </c>
      <c r="AN379" s="51">
        <f t="shared" si="85"/>
        <v>1643006.19</v>
      </c>
      <c r="AO379" s="51">
        <f t="shared" si="83"/>
        <v>0</v>
      </c>
      <c r="AP379" s="125" t="s">
        <v>1296</v>
      </c>
      <c r="AQ379" s="52">
        <v>424915.4</v>
      </c>
      <c r="AR379" s="51">
        <f>399314.31+25601.09</f>
        <v>424915.4</v>
      </c>
      <c r="AS379" s="51">
        <f t="shared" si="95"/>
        <v>0</v>
      </c>
      <c r="AT379" s="126">
        <f t="shared" si="92"/>
        <v>0</v>
      </c>
      <c r="AU379" s="48"/>
      <c r="AV379" s="46"/>
    </row>
    <row r="380" spans="1:48" ht="62.25" hidden="1" customHeight="1" x14ac:dyDescent="0.2">
      <c r="A380" s="151">
        <v>639</v>
      </c>
      <c r="B380" s="122" t="s">
        <v>1569</v>
      </c>
      <c r="C380" s="116"/>
      <c r="D380" s="107">
        <v>1226</v>
      </c>
      <c r="E380" s="46" t="s">
        <v>1570</v>
      </c>
      <c r="F380" s="46"/>
      <c r="G380" s="46"/>
      <c r="H380" s="33" t="s">
        <v>209</v>
      </c>
      <c r="I380" s="107">
        <v>6222</v>
      </c>
      <c r="J380" s="107"/>
      <c r="K380" s="39">
        <v>2.2999999999999998</v>
      </c>
      <c r="L380" s="40" t="s">
        <v>210</v>
      </c>
      <c r="M380" s="147" t="s">
        <v>1560</v>
      </c>
      <c r="N380" s="42" t="s">
        <v>63</v>
      </c>
      <c r="O380" s="41" t="s">
        <v>77</v>
      </c>
      <c r="P380" s="46" t="s">
        <v>1571</v>
      </c>
      <c r="Q380" s="46" t="s">
        <v>1572</v>
      </c>
      <c r="R380" s="33" t="s">
        <v>1573</v>
      </c>
      <c r="S380" s="45">
        <f t="shared" si="93"/>
        <v>4900000</v>
      </c>
      <c r="T380" s="45">
        <v>4900000</v>
      </c>
      <c r="U380" s="45">
        <v>0</v>
      </c>
      <c r="V380" s="109" t="s">
        <v>1563</v>
      </c>
      <c r="W380" s="63">
        <v>41968</v>
      </c>
      <c r="X380" s="48"/>
      <c r="Y380" s="109" t="s">
        <v>234</v>
      </c>
      <c r="Z380" s="45"/>
      <c r="AA380" s="45"/>
      <c r="AB380" s="45">
        <f t="shared" si="94"/>
        <v>0</v>
      </c>
      <c r="AC380" s="48"/>
      <c r="AD380" s="63"/>
      <c r="AE380" s="51">
        <f t="shared" si="89"/>
        <v>0</v>
      </c>
      <c r="AF380" s="52">
        <f t="shared" si="90"/>
        <v>33392.469999999739</v>
      </c>
      <c r="AG380" s="52">
        <v>4866607.53</v>
      </c>
      <c r="AH380" s="52">
        <v>1459982.26</v>
      </c>
      <c r="AI380" s="52">
        <f t="shared" si="91"/>
        <v>3406625.2700000005</v>
      </c>
      <c r="AJ380" s="124">
        <v>0</v>
      </c>
      <c r="AK380" s="45">
        <v>0</v>
      </c>
      <c r="AL380" s="52">
        <f t="shared" si="82"/>
        <v>0</v>
      </c>
      <c r="AM380" s="52">
        <f t="shared" si="84"/>
        <v>4866607.53</v>
      </c>
      <c r="AN380" s="51">
        <f t="shared" si="85"/>
        <v>1459982.26</v>
      </c>
      <c r="AO380" s="51">
        <f t="shared" si="83"/>
        <v>3406625.2700000005</v>
      </c>
      <c r="AP380" s="125" t="s">
        <v>205</v>
      </c>
      <c r="AQ380" s="52">
        <v>1258605.3999999999</v>
      </c>
      <c r="AR380" s="51"/>
      <c r="AS380" s="51">
        <f t="shared" si="95"/>
        <v>1258605.3999999999</v>
      </c>
      <c r="AT380" s="51">
        <f t="shared" si="92"/>
        <v>3440017.74</v>
      </c>
      <c r="AU380" s="48"/>
      <c r="AV380" s="46"/>
    </row>
    <row r="381" spans="1:48" ht="55.5" hidden="1" customHeight="1" x14ac:dyDescent="0.2">
      <c r="A381" s="151">
        <v>639</v>
      </c>
      <c r="B381" s="122" t="s">
        <v>1574</v>
      </c>
      <c r="C381" s="116"/>
      <c r="D381" s="107">
        <v>658</v>
      </c>
      <c r="E381" s="46" t="s">
        <v>1575</v>
      </c>
      <c r="F381" s="46"/>
      <c r="G381" s="46"/>
      <c r="H381" s="33" t="s">
        <v>209</v>
      </c>
      <c r="I381" s="107">
        <v>6222</v>
      </c>
      <c r="J381" s="107"/>
      <c r="K381" s="39">
        <v>2.2999999999999998</v>
      </c>
      <c r="L381" s="40" t="s">
        <v>210</v>
      </c>
      <c r="M381" s="147" t="s">
        <v>1560</v>
      </c>
      <c r="N381" s="42" t="s">
        <v>76</v>
      </c>
      <c r="O381" s="41" t="s">
        <v>77</v>
      </c>
      <c r="P381" s="46" t="s">
        <v>1576</v>
      </c>
      <c r="Q381" s="46" t="s">
        <v>1577</v>
      </c>
      <c r="R381" s="33" t="s">
        <v>1578</v>
      </c>
      <c r="S381" s="45">
        <f t="shared" si="93"/>
        <v>2200000</v>
      </c>
      <c r="T381" s="45">
        <v>2200000</v>
      </c>
      <c r="U381" s="45">
        <v>0</v>
      </c>
      <c r="V381" s="109" t="s">
        <v>1563</v>
      </c>
      <c r="W381" s="63">
        <v>41968</v>
      </c>
      <c r="X381" s="48"/>
      <c r="Y381" s="109" t="s">
        <v>234</v>
      </c>
      <c r="Z381" s="45"/>
      <c r="AA381" s="45"/>
      <c r="AB381" s="45">
        <f t="shared" si="94"/>
        <v>0</v>
      </c>
      <c r="AC381" s="48"/>
      <c r="AD381" s="63"/>
      <c r="AE381" s="51">
        <f t="shared" si="89"/>
        <v>0</v>
      </c>
      <c r="AF381" s="52">
        <f t="shared" si="90"/>
        <v>4970.8100000000559</v>
      </c>
      <c r="AG381" s="52">
        <v>2195029.19</v>
      </c>
      <c r="AH381" s="52">
        <f>1097514.59+773416.8+324097.79</f>
        <v>2195029.1800000002</v>
      </c>
      <c r="AI381" s="52">
        <f t="shared" si="91"/>
        <v>9.9999997764825821E-3</v>
      </c>
      <c r="AJ381" s="124">
        <v>0</v>
      </c>
      <c r="AK381" s="45">
        <v>0</v>
      </c>
      <c r="AL381" s="52">
        <f t="shared" si="82"/>
        <v>0</v>
      </c>
      <c r="AM381" s="52">
        <f t="shared" si="84"/>
        <v>2195029.19</v>
      </c>
      <c r="AN381" s="51">
        <f t="shared" si="85"/>
        <v>2195029.1800000002</v>
      </c>
      <c r="AO381" s="51">
        <f t="shared" si="83"/>
        <v>9.9999997764825821E-3</v>
      </c>
      <c r="AP381" s="125" t="s">
        <v>247</v>
      </c>
      <c r="AQ381" s="52">
        <v>946133.27</v>
      </c>
      <c r="AR381" s="51">
        <f>666738.63+279394.64</f>
        <v>946133.27</v>
      </c>
      <c r="AS381" s="51">
        <f t="shared" si="95"/>
        <v>0</v>
      </c>
      <c r="AT381" s="126">
        <f t="shared" si="92"/>
        <v>4970.8199999998324</v>
      </c>
      <c r="AU381" s="48"/>
      <c r="AV381" s="46"/>
    </row>
    <row r="382" spans="1:48" ht="28.5" hidden="1" customHeight="1" x14ac:dyDescent="0.2">
      <c r="A382" s="151">
        <v>639</v>
      </c>
      <c r="B382" s="122" t="s">
        <v>1579</v>
      </c>
      <c r="C382" s="116"/>
      <c r="D382" s="107">
        <v>659</v>
      </c>
      <c r="E382" s="46" t="s">
        <v>1580</v>
      </c>
      <c r="F382" s="46"/>
      <c r="G382" s="46"/>
      <c r="H382" s="33" t="s">
        <v>209</v>
      </c>
      <c r="I382" s="107">
        <v>6222</v>
      </c>
      <c r="J382" s="107"/>
      <c r="K382" s="39">
        <v>2.2999999999999998</v>
      </c>
      <c r="L382" s="40" t="s">
        <v>210</v>
      </c>
      <c r="M382" s="147" t="s">
        <v>1560</v>
      </c>
      <c r="N382" s="42" t="s">
        <v>76</v>
      </c>
      <c r="O382" s="41" t="s">
        <v>77</v>
      </c>
      <c r="P382" s="46" t="s">
        <v>1576</v>
      </c>
      <c r="Q382" s="46" t="s">
        <v>1581</v>
      </c>
      <c r="R382" s="33" t="s">
        <v>1582</v>
      </c>
      <c r="S382" s="45">
        <f t="shared" si="93"/>
        <v>495000</v>
      </c>
      <c r="T382" s="45">
        <v>495000</v>
      </c>
      <c r="U382" s="45">
        <v>0</v>
      </c>
      <c r="V382" s="109" t="s">
        <v>1563</v>
      </c>
      <c r="W382" s="63">
        <v>41968</v>
      </c>
      <c r="X382" s="48"/>
      <c r="Y382" s="109" t="s">
        <v>234</v>
      </c>
      <c r="Z382" s="45"/>
      <c r="AA382" s="45"/>
      <c r="AB382" s="45">
        <f t="shared" si="94"/>
        <v>0</v>
      </c>
      <c r="AC382" s="48"/>
      <c r="AD382" s="63"/>
      <c r="AE382" s="51">
        <f t="shared" si="89"/>
        <v>0</v>
      </c>
      <c r="AF382" s="52">
        <f t="shared" si="90"/>
        <v>5214.1199999999953</v>
      </c>
      <c r="AG382" s="52">
        <v>489785.88</v>
      </c>
      <c r="AH382" s="52">
        <f>146935.76+287066.61+55783.51</f>
        <v>489785.88</v>
      </c>
      <c r="AI382" s="52">
        <f t="shared" si="91"/>
        <v>0</v>
      </c>
      <c r="AJ382" s="124">
        <v>0</v>
      </c>
      <c r="AK382" s="45">
        <v>0</v>
      </c>
      <c r="AL382" s="52">
        <f t="shared" si="82"/>
        <v>0</v>
      </c>
      <c r="AM382" s="52">
        <f t="shared" si="84"/>
        <v>489785.88</v>
      </c>
      <c r="AN382" s="51">
        <f t="shared" si="85"/>
        <v>489785.88</v>
      </c>
      <c r="AO382" s="51">
        <f t="shared" si="83"/>
        <v>0</v>
      </c>
      <c r="AP382" s="125"/>
      <c r="AQ382" s="52">
        <v>126668.76</v>
      </c>
      <c r="AR382" s="51">
        <f>106059.09+20609.67</f>
        <v>126668.76</v>
      </c>
      <c r="AS382" s="51">
        <f t="shared" si="95"/>
        <v>0</v>
      </c>
      <c r="AT382" s="126">
        <f t="shared" si="92"/>
        <v>5214.1199999999953</v>
      </c>
      <c r="AU382" s="48"/>
      <c r="AV382" s="46"/>
    </row>
    <row r="383" spans="1:48" ht="27.75" hidden="1" customHeight="1" x14ac:dyDescent="0.2">
      <c r="A383" s="151">
        <v>639</v>
      </c>
      <c r="B383" s="122" t="s">
        <v>1583</v>
      </c>
      <c r="C383" s="116"/>
      <c r="D383" s="107">
        <v>1227</v>
      </c>
      <c r="E383" s="46" t="s">
        <v>1584</v>
      </c>
      <c r="F383" s="46"/>
      <c r="G383" s="46"/>
      <c r="H383" s="33" t="s">
        <v>209</v>
      </c>
      <c r="I383" s="107">
        <v>6222</v>
      </c>
      <c r="J383" s="107"/>
      <c r="K383" s="39">
        <v>2.2999999999999998</v>
      </c>
      <c r="L383" s="40" t="s">
        <v>210</v>
      </c>
      <c r="M383" s="147" t="s">
        <v>1560</v>
      </c>
      <c r="N383" s="42" t="s">
        <v>76</v>
      </c>
      <c r="O383" s="41" t="s">
        <v>77</v>
      </c>
      <c r="P383" s="46" t="s">
        <v>331</v>
      </c>
      <c r="Q383" s="46" t="s">
        <v>1585</v>
      </c>
      <c r="R383" s="33" t="s">
        <v>1586</v>
      </c>
      <c r="S383" s="45">
        <f t="shared" si="93"/>
        <v>470000</v>
      </c>
      <c r="T383" s="45">
        <v>470000</v>
      </c>
      <c r="U383" s="45">
        <v>0</v>
      </c>
      <c r="V383" s="109" t="s">
        <v>1563</v>
      </c>
      <c r="W383" s="63">
        <v>41968</v>
      </c>
      <c r="X383" s="48"/>
      <c r="Y383" s="109" t="s">
        <v>234</v>
      </c>
      <c r="Z383" s="45"/>
      <c r="AA383" s="45"/>
      <c r="AB383" s="45">
        <f t="shared" si="94"/>
        <v>0</v>
      </c>
      <c r="AC383" s="48"/>
      <c r="AD383" s="63"/>
      <c r="AE383" s="51">
        <f t="shared" si="89"/>
        <v>0</v>
      </c>
      <c r="AF383" s="52">
        <f t="shared" si="90"/>
        <v>1599.0499999999884</v>
      </c>
      <c r="AG383" s="52">
        <v>468400.95</v>
      </c>
      <c r="AH383" s="52">
        <f>140520.29+258383.67+69496.99</f>
        <v>468400.95</v>
      </c>
      <c r="AI383" s="52">
        <f t="shared" si="91"/>
        <v>0</v>
      </c>
      <c r="AJ383" s="124">
        <v>0</v>
      </c>
      <c r="AK383" s="45">
        <v>0</v>
      </c>
      <c r="AL383" s="52">
        <f t="shared" si="82"/>
        <v>0</v>
      </c>
      <c r="AM383" s="52">
        <f t="shared" si="84"/>
        <v>468400.95</v>
      </c>
      <c r="AN383" s="51">
        <f t="shared" si="85"/>
        <v>468400.95</v>
      </c>
      <c r="AO383" s="51">
        <f t="shared" si="83"/>
        <v>0</v>
      </c>
      <c r="AP383" s="125" t="s">
        <v>205</v>
      </c>
      <c r="AQ383" s="52">
        <v>121138.18</v>
      </c>
      <c r="AR383" s="51">
        <f>95461.95+25676.23</f>
        <v>121138.18</v>
      </c>
      <c r="AS383" s="51">
        <f t="shared" si="95"/>
        <v>0</v>
      </c>
      <c r="AT383" s="168">
        <f t="shared" si="92"/>
        <v>1599.0499999999884</v>
      </c>
      <c r="AU383" s="48"/>
      <c r="AV383" s="46"/>
    </row>
    <row r="384" spans="1:48" ht="57.75" hidden="1" customHeight="1" x14ac:dyDescent="0.2">
      <c r="A384" s="32">
        <v>636</v>
      </c>
      <c r="B384" s="122" t="s">
        <v>1587</v>
      </c>
      <c r="C384" s="116"/>
      <c r="D384" s="107">
        <v>1262</v>
      </c>
      <c r="E384" s="46" t="s">
        <v>1588</v>
      </c>
      <c r="F384" s="46"/>
      <c r="G384" s="46"/>
      <c r="H384" s="105"/>
      <c r="I384" s="107">
        <v>6122</v>
      </c>
      <c r="J384" s="107"/>
      <c r="K384" s="39">
        <v>1</v>
      </c>
      <c r="L384" s="118" t="s">
        <v>137</v>
      </c>
      <c r="M384" s="147" t="s">
        <v>278</v>
      </c>
      <c r="N384" s="117" t="s">
        <v>493</v>
      </c>
      <c r="O384" s="148" t="s">
        <v>279</v>
      </c>
      <c r="P384" s="46" t="s">
        <v>206</v>
      </c>
      <c r="Q384" s="46" t="s">
        <v>588</v>
      </c>
      <c r="R384" s="33" t="s">
        <v>1589</v>
      </c>
      <c r="S384" s="45">
        <f t="shared" si="93"/>
        <v>1000000</v>
      </c>
      <c r="T384" s="45">
        <v>1000000</v>
      </c>
      <c r="U384" s="45">
        <v>0</v>
      </c>
      <c r="V384" s="105" t="s">
        <v>1590</v>
      </c>
      <c r="W384" s="63">
        <v>41968</v>
      </c>
      <c r="X384" s="48"/>
      <c r="Y384" s="109" t="s">
        <v>234</v>
      </c>
      <c r="Z384" s="45"/>
      <c r="AA384" s="45"/>
      <c r="AB384" s="45">
        <f t="shared" si="94"/>
        <v>0</v>
      </c>
      <c r="AC384" s="48"/>
      <c r="AD384" s="63"/>
      <c r="AE384" s="51">
        <f t="shared" si="89"/>
        <v>0</v>
      </c>
      <c r="AF384" s="52">
        <f t="shared" si="90"/>
        <v>22176.140000000014</v>
      </c>
      <c r="AG384" s="52">
        <v>977823.86</v>
      </c>
      <c r="AH384" s="52">
        <v>977823.86</v>
      </c>
      <c r="AI384" s="52">
        <f t="shared" si="91"/>
        <v>0</v>
      </c>
      <c r="AJ384" s="124">
        <v>0</v>
      </c>
      <c r="AK384" s="45">
        <v>0</v>
      </c>
      <c r="AL384" s="52" t="s">
        <v>27</v>
      </c>
      <c r="AM384" s="52">
        <f t="shared" si="84"/>
        <v>977823.86</v>
      </c>
      <c r="AN384" s="51">
        <f t="shared" si="85"/>
        <v>977823.86</v>
      </c>
      <c r="AO384" s="51">
        <f t="shared" si="83"/>
        <v>0</v>
      </c>
      <c r="AP384" s="125" t="s">
        <v>105</v>
      </c>
      <c r="AQ384" s="52">
        <v>0</v>
      </c>
      <c r="AR384" s="51"/>
      <c r="AS384" s="51">
        <f t="shared" si="95"/>
        <v>0</v>
      </c>
      <c r="AT384" s="126">
        <f t="shared" si="92"/>
        <v>22176.140000000014</v>
      </c>
      <c r="AU384" s="48"/>
      <c r="AV384" s="46"/>
    </row>
    <row r="385" spans="1:54" ht="20.25" hidden="1" customHeight="1" x14ac:dyDescent="0.2">
      <c r="A385" s="32">
        <v>636</v>
      </c>
      <c r="B385" s="122" t="s">
        <v>1591</v>
      </c>
      <c r="C385" s="116"/>
      <c r="D385" s="107">
        <v>1242</v>
      </c>
      <c r="E385" s="46" t="s">
        <v>1592</v>
      </c>
      <c r="F385" s="46"/>
      <c r="G385" s="46" t="s">
        <v>951</v>
      </c>
      <c r="H385" s="33" t="s">
        <v>608</v>
      </c>
      <c r="I385" s="107">
        <v>6122</v>
      </c>
      <c r="J385" s="107"/>
      <c r="K385" s="39">
        <v>2</v>
      </c>
      <c r="L385" s="40" t="s">
        <v>61</v>
      </c>
      <c r="M385" s="147" t="s">
        <v>278</v>
      </c>
      <c r="N385" s="42" t="s">
        <v>76</v>
      </c>
      <c r="O385" s="148" t="s">
        <v>279</v>
      </c>
      <c r="P385" s="46" t="s">
        <v>104</v>
      </c>
      <c r="Q385" s="46" t="s">
        <v>1593</v>
      </c>
      <c r="R385" s="33" t="s">
        <v>1594</v>
      </c>
      <c r="S385" s="45">
        <f t="shared" si="93"/>
        <v>1415564.8800000001</v>
      </c>
      <c r="T385" s="45">
        <v>1391572.26</v>
      </c>
      <c r="U385" s="45">
        <v>23992.62</v>
      </c>
      <c r="V385" s="109" t="s">
        <v>1595</v>
      </c>
      <c r="W385" s="63">
        <v>41962</v>
      </c>
      <c r="X385" s="48"/>
      <c r="Y385" s="109" t="s">
        <v>234</v>
      </c>
      <c r="Z385" s="45">
        <v>23879.29</v>
      </c>
      <c r="AA385" s="45">
        <f>20000+1792</f>
        <v>21792</v>
      </c>
      <c r="AB385" s="45">
        <f t="shared" si="94"/>
        <v>2087.2900000000009</v>
      </c>
      <c r="AC385" s="48" t="s">
        <v>102</v>
      </c>
      <c r="AD385" s="63">
        <v>42138</v>
      </c>
      <c r="AE385" s="51">
        <f t="shared" si="89"/>
        <v>113.32999999999811</v>
      </c>
      <c r="AF385" s="52">
        <f t="shared" si="90"/>
        <v>6573.1699999999255</v>
      </c>
      <c r="AG385" s="52">
        <v>1384999.09</v>
      </c>
      <c r="AH385" s="52">
        <f>415499.73+875854.59+93644.77</f>
        <v>1384999.0899999999</v>
      </c>
      <c r="AI385" s="52">
        <f t="shared" si="91"/>
        <v>2.3283064365386963E-10</v>
      </c>
      <c r="AJ385" s="124">
        <v>0</v>
      </c>
      <c r="AK385" s="45">
        <v>0</v>
      </c>
      <c r="AL385" s="52">
        <f t="shared" si="82"/>
        <v>0</v>
      </c>
      <c r="AM385" s="52">
        <f t="shared" si="84"/>
        <v>1408878.3800000001</v>
      </c>
      <c r="AN385" s="51">
        <f t="shared" si="85"/>
        <v>1406791.0899999999</v>
      </c>
      <c r="AO385" s="51">
        <f t="shared" si="83"/>
        <v>2087.2900000002701</v>
      </c>
      <c r="AP385" s="125" t="s">
        <v>83</v>
      </c>
      <c r="AQ385" s="52">
        <v>358189.42</v>
      </c>
      <c r="AR385" s="51">
        <f>323591.6+34597.82</f>
        <v>358189.42</v>
      </c>
      <c r="AS385" s="51">
        <f t="shared" si="95"/>
        <v>0</v>
      </c>
      <c r="AT385" s="126">
        <f t="shared" si="92"/>
        <v>8773.7900000002701</v>
      </c>
      <c r="AU385" s="48"/>
      <c r="AV385" s="46"/>
    </row>
    <row r="386" spans="1:54" ht="27" hidden="1" customHeight="1" x14ac:dyDescent="0.2">
      <c r="A386" s="32">
        <v>636</v>
      </c>
      <c r="B386" s="122" t="s">
        <v>1596</v>
      </c>
      <c r="C386" s="116"/>
      <c r="D386" s="107">
        <v>1253</v>
      </c>
      <c r="E386" s="46" t="s">
        <v>1597</v>
      </c>
      <c r="F386" s="46"/>
      <c r="G386" s="46"/>
      <c r="H386" s="33" t="s">
        <v>764</v>
      </c>
      <c r="I386" s="107">
        <v>6121</v>
      </c>
      <c r="J386" s="107"/>
      <c r="K386" s="39">
        <v>2.2000000000000002</v>
      </c>
      <c r="L386" s="40" t="s">
        <v>765</v>
      </c>
      <c r="M386" s="147" t="s">
        <v>108</v>
      </c>
      <c r="N386" s="42" t="s">
        <v>76</v>
      </c>
      <c r="O386" s="148" t="s">
        <v>88</v>
      </c>
      <c r="P386" s="46" t="s">
        <v>518</v>
      </c>
      <c r="Q386" s="46" t="s">
        <v>1598</v>
      </c>
      <c r="R386" s="33" t="s">
        <v>1599</v>
      </c>
      <c r="S386" s="45">
        <f t="shared" si="93"/>
        <v>360000</v>
      </c>
      <c r="T386" s="45">
        <v>360000</v>
      </c>
      <c r="U386" s="45">
        <v>0</v>
      </c>
      <c r="V386" s="109" t="s">
        <v>1600</v>
      </c>
      <c r="W386" s="63">
        <v>41962</v>
      </c>
      <c r="X386" s="48"/>
      <c r="Y386" s="109" t="s">
        <v>234</v>
      </c>
      <c r="Z386" s="45"/>
      <c r="AA386" s="45"/>
      <c r="AB386" s="45">
        <f t="shared" si="94"/>
        <v>0</v>
      </c>
      <c r="AC386" s="48"/>
      <c r="AD386" s="63"/>
      <c r="AE386" s="51">
        <f t="shared" si="89"/>
        <v>0</v>
      </c>
      <c r="AF386" s="52">
        <f t="shared" si="90"/>
        <v>1740</v>
      </c>
      <c r="AG386" s="52">
        <v>358260</v>
      </c>
      <c r="AH386" s="52">
        <v>358260</v>
      </c>
      <c r="AI386" s="52">
        <f t="shared" si="91"/>
        <v>0</v>
      </c>
      <c r="AJ386" s="124">
        <v>0</v>
      </c>
      <c r="AK386" s="45">
        <v>0</v>
      </c>
      <c r="AL386" s="52">
        <f t="shared" si="82"/>
        <v>0</v>
      </c>
      <c r="AM386" s="52">
        <f t="shared" si="84"/>
        <v>358260</v>
      </c>
      <c r="AN386" s="51">
        <f t="shared" si="85"/>
        <v>358260</v>
      </c>
      <c r="AO386" s="51">
        <f t="shared" si="83"/>
        <v>0</v>
      </c>
      <c r="AP386" s="125" t="s">
        <v>105</v>
      </c>
      <c r="AQ386" s="52"/>
      <c r="AR386" s="51"/>
      <c r="AS386" s="51">
        <f t="shared" si="95"/>
        <v>0</v>
      </c>
      <c r="AT386" s="126">
        <f t="shared" si="92"/>
        <v>1740</v>
      </c>
      <c r="AU386" s="48"/>
      <c r="AV386" s="46"/>
    </row>
    <row r="387" spans="1:54" ht="24.75" hidden="1" customHeight="1" x14ac:dyDescent="0.2">
      <c r="A387" s="32">
        <v>636</v>
      </c>
      <c r="B387" s="122" t="s">
        <v>1601</v>
      </c>
      <c r="C387" s="116"/>
      <c r="D387" s="107">
        <v>1263</v>
      </c>
      <c r="E387" s="46" t="s">
        <v>1602</v>
      </c>
      <c r="F387" s="46"/>
      <c r="G387" s="46"/>
      <c r="H387" s="33" t="s">
        <v>809</v>
      </c>
      <c r="I387" s="107">
        <v>6122</v>
      </c>
      <c r="J387" s="107"/>
      <c r="K387" s="39">
        <v>3</v>
      </c>
      <c r="L387" s="118" t="s">
        <v>810</v>
      </c>
      <c r="M387" s="147" t="s">
        <v>117</v>
      </c>
      <c r="N387" s="62" t="s">
        <v>811</v>
      </c>
      <c r="O387" s="148" t="s">
        <v>1467</v>
      </c>
      <c r="P387" s="46" t="s">
        <v>331</v>
      </c>
      <c r="Q387" s="46" t="s">
        <v>1475</v>
      </c>
      <c r="R387" s="33" t="s">
        <v>1603</v>
      </c>
      <c r="S387" s="45">
        <f t="shared" si="93"/>
        <v>557000</v>
      </c>
      <c r="T387" s="45">
        <v>557000</v>
      </c>
      <c r="U387" s="45">
        <v>0</v>
      </c>
      <c r="V387" s="109" t="s">
        <v>1604</v>
      </c>
      <c r="W387" s="63">
        <v>41963</v>
      </c>
      <c r="X387" s="48"/>
      <c r="Y387" s="109" t="s">
        <v>234</v>
      </c>
      <c r="Z387" s="45"/>
      <c r="AA387" s="45"/>
      <c r="AB387" s="45">
        <f t="shared" si="94"/>
        <v>0</v>
      </c>
      <c r="AC387" s="48"/>
      <c r="AD387" s="63"/>
      <c r="AE387" s="51">
        <f t="shared" si="89"/>
        <v>0</v>
      </c>
      <c r="AF387" s="52">
        <f t="shared" si="90"/>
        <v>385.11999999999534</v>
      </c>
      <c r="AG387" s="52">
        <v>556614.88</v>
      </c>
      <c r="AH387" s="52">
        <f>278307.44+278307.43</f>
        <v>556614.87</v>
      </c>
      <c r="AI387" s="52">
        <f t="shared" si="91"/>
        <v>1.0000000009313226E-2</v>
      </c>
      <c r="AJ387" s="124">
        <v>0</v>
      </c>
      <c r="AK387" s="45">
        <v>0</v>
      </c>
      <c r="AL387" s="52">
        <f t="shared" si="82"/>
        <v>0</v>
      </c>
      <c r="AM387" s="52">
        <f t="shared" si="84"/>
        <v>556614.88</v>
      </c>
      <c r="AN387" s="51">
        <f t="shared" si="85"/>
        <v>556614.87</v>
      </c>
      <c r="AO387" s="51">
        <f t="shared" si="83"/>
        <v>1.0000000009313226E-2</v>
      </c>
      <c r="AP387" s="125"/>
      <c r="AQ387" s="52">
        <v>239920.21</v>
      </c>
      <c r="AR387" s="51">
        <v>239920.21</v>
      </c>
      <c r="AS387" s="51">
        <f t="shared" si="95"/>
        <v>0</v>
      </c>
      <c r="AT387" s="51">
        <f t="shared" si="92"/>
        <v>385.13000000000466</v>
      </c>
      <c r="AU387" s="48"/>
      <c r="AV387" s="46" t="s">
        <v>1605</v>
      </c>
    </row>
    <row r="388" spans="1:54" ht="20.25" hidden="1" customHeight="1" x14ac:dyDescent="0.2">
      <c r="A388" s="32">
        <v>636</v>
      </c>
      <c r="B388" s="94" t="s">
        <v>1606</v>
      </c>
      <c r="C388" s="116" t="s">
        <v>1607</v>
      </c>
      <c r="D388" s="107">
        <v>534</v>
      </c>
      <c r="E388" s="256" t="s">
        <v>1608</v>
      </c>
      <c r="F388" s="82"/>
      <c r="G388" s="82">
        <v>1</v>
      </c>
      <c r="H388" s="67" t="s">
        <v>1166</v>
      </c>
      <c r="I388" s="158">
        <v>6131</v>
      </c>
      <c r="J388" s="107">
        <v>2</v>
      </c>
      <c r="K388" s="39">
        <v>6</v>
      </c>
      <c r="L388" s="152" t="s">
        <v>1122</v>
      </c>
      <c r="M388" s="153" t="s">
        <v>1123</v>
      </c>
      <c r="N388" s="42" t="s">
        <v>76</v>
      </c>
      <c r="O388" s="117" t="s">
        <v>88</v>
      </c>
      <c r="P388" s="67" t="s">
        <v>289</v>
      </c>
      <c r="Q388" s="67" t="s">
        <v>1609</v>
      </c>
      <c r="R388" s="253" t="s">
        <v>1610</v>
      </c>
      <c r="S388" s="52">
        <f t="shared" si="93"/>
        <v>797791.25</v>
      </c>
      <c r="T388" s="52">
        <v>797791.25</v>
      </c>
      <c r="U388" s="52">
        <v>0</v>
      </c>
      <c r="V388" s="109" t="s">
        <v>1611</v>
      </c>
      <c r="W388" s="154">
        <v>41977</v>
      </c>
      <c r="X388" s="109"/>
      <c r="Y388" s="109" t="s">
        <v>234</v>
      </c>
      <c r="Z388" s="155"/>
      <c r="AA388" s="155"/>
      <c r="AB388" s="155">
        <f t="shared" si="94"/>
        <v>0</v>
      </c>
      <c r="AC388" s="109"/>
      <c r="AD388" s="154"/>
      <c r="AE388" s="51">
        <f t="shared" si="89"/>
        <v>0</v>
      </c>
      <c r="AF388" s="52">
        <f t="shared" si="90"/>
        <v>879.52000000001863</v>
      </c>
      <c r="AG388" s="52">
        <v>796911.73</v>
      </c>
      <c r="AH388" s="52">
        <f>239073.52+557838.21</f>
        <v>796911.73</v>
      </c>
      <c r="AI388" s="52">
        <f t="shared" si="91"/>
        <v>0</v>
      </c>
      <c r="AJ388" s="163">
        <v>0</v>
      </c>
      <c r="AK388" s="52">
        <v>0</v>
      </c>
      <c r="AL388" s="52">
        <f t="shared" ref="AL388:AL447" si="96">+AJ388-AK388</f>
        <v>0</v>
      </c>
      <c r="AM388" s="52">
        <f t="shared" si="84"/>
        <v>796911.73</v>
      </c>
      <c r="AN388" s="51">
        <f t="shared" si="85"/>
        <v>796911.73</v>
      </c>
      <c r="AO388" s="51">
        <f t="shared" ref="AO388:AO447" si="97">+AM388-AN388</f>
        <v>0</v>
      </c>
      <c r="AP388" s="125"/>
      <c r="AQ388" s="52">
        <v>206097.86</v>
      </c>
      <c r="AR388" s="52">
        <v>206097.86</v>
      </c>
      <c r="AS388" s="51">
        <f t="shared" si="95"/>
        <v>0</v>
      </c>
      <c r="AT388" s="126">
        <f t="shared" si="92"/>
        <v>879.52000000001863</v>
      </c>
      <c r="AU388" s="109"/>
      <c r="AV388" s="67"/>
      <c r="AW388" s="4"/>
      <c r="AX388" s="4"/>
      <c r="AY388" s="4"/>
      <c r="AZ388" s="4"/>
      <c r="BA388" s="4"/>
      <c r="BB388" s="4"/>
    </row>
    <row r="389" spans="1:54" ht="20.25" hidden="1" customHeight="1" x14ac:dyDescent="0.2">
      <c r="A389" s="32">
        <v>636</v>
      </c>
      <c r="B389" s="94" t="s">
        <v>1606</v>
      </c>
      <c r="C389" s="116" t="s">
        <v>1607</v>
      </c>
      <c r="D389" s="107">
        <v>535</v>
      </c>
      <c r="E389" s="258"/>
      <c r="F389" s="36"/>
      <c r="G389" s="36">
        <v>1</v>
      </c>
      <c r="H389" s="33" t="s">
        <v>60</v>
      </c>
      <c r="I389" s="107">
        <v>6131</v>
      </c>
      <c r="J389" s="107">
        <v>2</v>
      </c>
      <c r="K389" s="39">
        <v>2</v>
      </c>
      <c r="L389" s="40" t="s">
        <v>61</v>
      </c>
      <c r="M389" s="147" t="s">
        <v>1123</v>
      </c>
      <c r="N389" s="42" t="s">
        <v>76</v>
      </c>
      <c r="O389" s="148" t="s">
        <v>88</v>
      </c>
      <c r="P389" s="46" t="s">
        <v>289</v>
      </c>
      <c r="Q389" s="46" t="s">
        <v>1609</v>
      </c>
      <c r="R389" s="257"/>
      <c r="S389" s="52">
        <f t="shared" si="93"/>
        <v>797791.25</v>
      </c>
      <c r="T389" s="52">
        <v>797791.25</v>
      </c>
      <c r="U389" s="52">
        <v>0</v>
      </c>
      <c r="V389" s="109" t="s">
        <v>1611</v>
      </c>
      <c r="W389" s="63">
        <v>41977</v>
      </c>
      <c r="X389" s="48"/>
      <c r="Y389" s="109" t="s">
        <v>234</v>
      </c>
      <c r="Z389" s="45"/>
      <c r="AA389" s="45"/>
      <c r="AB389" s="45">
        <f t="shared" si="94"/>
        <v>0</v>
      </c>
      <c r="AC389" s="48"/>
      <c r="AD389" s="63"/>
      <c r="AE389" s="51">
        <f t="shared" si="89"/>
        <v>0</v>
      </c>
      <c r="AF389" s="52">
        <f t="shared" si="90"/>
        <v>879.53000000002794</v>
      </c>
      <c r="AG389" s="52">
        <v>796911.72</v>
      </c>
      <c r="AH389" s="52">
        <f>239073.52+557838.2</f>
        <v>796911.72</v>
      </c>
      <c r="AI389" s="52">
        <f t="shared" si="91"/>
        <v>0</v>
      </c>
      <c r="AJ389" s="124">
        <v>0</v>
      </c>
      <c r="AK389" s="45">
        <v>0</v>
      </c>
      <c r="AL389" s="52">
        <f t="shared" si="96"/>
        <v>0</v>
      </c>
      <c r="AM389" s="52">
        <f t="shared" si="84"/>
        <v>796911.72</v>
      </c>
      <c r="AN389" s="51">
        <f t="shared" si="85"/>
        <v>796911.72</v>
      </c>
      <c r="AO389" s="51">
        <f t="shared" si="97"/>
        <v>0</v>
      </c>
      <c r="AP389" s="125"/>
      <c r="AQ389" s="52">
        <v>206097.86</v>
      </c>
      <c r="AR389" s="52">
        <v>206097.86</v>
      </c>
      <c r="AS389" s="51">
        <f t="shared" si="95"/>
        <v>0</v>
      </c>
      <c r="AT389" s="126">
        <f t="shared" si="92"/>
        <v>879.53000000002794</v>
      </c>
      <c r="AU389" s="48"/>
      <c r="AV389" s="46"/>
    </row>
    <row r="390" spans="1:54" ht="20.25" hidden="1" customHeight="1" x14ac:dyDescent="0.2">
      <c r="A390" s="32">
        <v>636</v>
      </c>
      <c r="B390" s="94" t="s">
        <v>1612</v>
      </c>
      <c r="C390" s="116" t="s">
        <v>1613</v>
      </c>
      <c r="D390" s="107">
        <v>536</v>
      </c>
      <c r="E390" s="256" t="s">
        <v>1614</v>
      </c>
      <c r="F390" s="82"/>
      <c r="G390" s="82">
        <v>1</v>
      </c>
      <c r="H390" s="67" t="s">
        <v>1166</v>
      </c>
      <c r="I390" s="158">
        <v>6131</v>
      </c>
      <c r="J390" s="107">
        <v>2</v>
      </c>
      <c r="K390" s="39">
        <v>6</v>
      </c>
      <c r="L390" s="152" t="s">
        <v>1122</v>
      </c>
      <c r="M390" s="153" t="s">
        <v>1123</v>
      </c>
      <c r="N390" s="42" t="s">
        <v>76</v>
      </c>
      <c r="O390" s="117" t="s">
        <v>88</v>
      </c>
      <c r="P390" s="67" t="s">
        <v>1330</v>
      </c>
      <c r="Q390" s="67" t="s">
        <v>1206</v>
      </c>
      <c r="R390" s="254"/>
      <c r="S390" s="52">
        <f t="shared" si="93"/>
        <v>797791.25</v>
      </c>
      <c r="T390" s="52">
        <v>797791.25</v>
      </c>
      <c r="U390" s="52">
        <v>0</v>
      </c>
      <c r="V390" s="109" t="s">
        <v>1611</v>
      </c>
      <c r="W390" s="154">
        <v>41977</v>
      </c>
      <c r="X390" s="109"/>
      <c r="Y390" s="109" t="s">
        <v>234</v>
      </c>
      <c r="Z390" s="155"/>
      <c r="AA390" s="155"/>
      <c r="AB390" s="155">
        <f t="shared" si="94"/>
        <v>0</v>
      </c>
      <c r="AC390" s="109"/>
      <c r="AD390" s="154"/>
      <c r="AE390" s="51">
        <f t="shared" si="89"/>
        <v>0</v>
      </c>
      <c r="AF390" s="52">
        <f t="shared" si="90"/>
        <v>879.53000000002794</v>
      </c>
      <c r="AG390" s="52">
        <v>796911.72</v>
      </c>
      <c r="AH390" s="52">
        <f>239073.52+557838.2</f>
        <v>796911.72</v>
      </c>
      <c r="AI390" s="52">
        <f t="shared" si="91"/>
        <v>0</v>
      </c>
      <c r="AJ390" s="163">
        <v>0</v>
      </c>
      <c r="AK390" s="52">
        <v>0</v>
      </c>
      <c r="AL390" s="52">
        <f t="shared" si="96"/>
        <v>0</v>
      </c>
      <c r="AM390" s="52">
        <f t="shared" si="84"/>
        <v>796911.72</v>
      </c>
      <c r="AN390" s="51">
        <f t="shared" si="85"/>
        <v>796911.72</v>
      </c>
      <c r="AO390" s="51">
        <f t="shared" si="97"/>
        <v>0</v>
      </c>
      <c r="AP390" s="125"/>
      <c r="AQ390" s="52">
        <v>206097.86</v>
      </c>
      <c r="AR390" s="52">
        <v>206097.86</v>
      </c>
      <c r="AS390" s="51">
        <f t="shared" si="95"/>
        <v>0</v>
      </c>
      <c r="AT390" s="126">
        <f t="shared" si="92"/>
        <v>879.53000000002794</v>
      </c>
      <c r="AU390" s="109"/>
      <c r="AV390" s="67"/>
      <c r="AW390" s="4"/>
      <c r="AX390" s="4"/>
      <c r="AY390" s="4"/>
      <c r="AZ390" s="4"/>
      <c r="BA390" s="4"/>
      <c r="BB390" s="4"/>
    </row>
    <row r="391" spans="1:54" ht="20.25" hidden="1" customHeight="1" x14ac:dyDescent="0.2">
      <c r="A391" s="32">
        <v>636</v>
      </c>
      <c r="B391" s="94" t="s">
        <v>1612</v>
      </c>
      <c r="C391" s="116" t="s">
        <v>1613</v>
      </c>
      <c r="D391" s="107">
        <v>537</v>
      </c>
      <c r="E391" s="258"/>
      <c r="F391" s="36"/>
      <c r="G391" s="36">
        <v>1</v>
      </c>
      <c r="H391" s="33" t="s">
        <v>60</v>
      </c>
      <c r="I391" s="107">
        <v>6131</v>
      </c>
      <c r="J391" s="107">
        <v>2</v>
      </c>
      <c r="K391" s="39">
        <v>2</v>
      </c>
      <c r="L391" s="40" t="s">
        <v>61</v>
      </c>
      <c r="M391" s="147" t="s">
        <v>1123</v>
      </c>
      <c r="N391" s="42" t="s">
        <v>76</v>
      </c>
      <c r="O391" s="148" t="s">
        <v>88</v>
      </c>
      <c r="P391" s="46" t="s">
        <v>1330</v>
      </c>
      <c r="Q391" s="46" t="s">
        <v>1206</v>
      </c>
      <c r="R391" s="258"/>
      <c r="S391" s="52">
        <f t="shared" si="93"/>
        <v>797791.25</v>
      </c>
      <c r="T391" s="52">
        <v>797791.25</v>
      </c>
      <c r="U391" s="52">
        <v>0</v>
      </c>
      <c r="V391" s="109" t="s">
        <v>1611</v>
      </c>
      <c r="W391" s="63">
        <v>41977</v>
      </c>
      <c r="X391" s="48"/>
      <c r="Y391" s="109" t="s">
        <v>234</v>
      </c>
      <c r="Z391" s="45"/>
      <c r="AA391" s="45"/>
      <c r="AB391" s="45">
        <f t="shared" si="94"/>
        <v>0</v>
      </c>
      <c r="AC391" s="48"/>
      <c r="AD391" s="63"/>
      <c r="AE391" s="51">
        <f t="shared" si="89"/>
        <v>0</v>
      </c>
      <c r="AF391" s="52">
        <f t="shared" si="90"/>
        <v>879.53000000002794</v>
      </c>
      <c r="AG391" s="52">
        <v>796911.72</v>
      </c>
      <c r="AH391" s="52">
        <f>239073.51+557838.21</f>
        <v>796911.72</v>
      </c>
      <c r="AI391" s="52">
        <f t="shared" si="91"/>
        <v>0</v>
      </c>
      <c r="AJ391" s="124">
        <v>0</v>
      </c>
      <c r="AK391" s="45">
        <v>0</v>
      </c>
      <c r="AL391" s="52">
        <f t="shared" si="96"/>
        <v>0</v>
      </c>
      <c r="AM391" s="52">
        <f t="shared" si="84"/>
        <v>796911.72</v>
      </c>
      <c r="AN391" s="51">
        <f t="shared" si="85"/>
        <v>796911.72</v>
      </c>
      <c r="AO391" s="51">
        <f t="shared" si="97"/>
        <v>0</v>
      </c>
      <c r="AP391" s="125"/>
      <c r="AQ391" s="52">
        <v>206097.86</v>
      </c>
      <c r="AR391" s="52">
        <v>206097.86</v>
      </c>
      <c r="AS391" s="51">
        <f t="shared" si="95"/>
        <v>0</v>
      </c>
      <c r="AT391" s="126">
        <f t="shared" si="92"/>
        <v>879.53000000002794</v>
      </c>
      <c r="AU391" s="48"/>
      <c r="AV391" s="46"/>
    </row>
    <row r="392" spans="1:54" ht="25.35" hidden="1" customHeight="1" x14ac:dyDescent="0.2">
      <c r="A392" s="32">
        <v>636</v>
      </c>
      <c r="B392" s="94" t="s">
        <v>1615</v>
      </c>
      <c r="C392" s="116" t="s">
        <v>1616</v>
      </c>
      <c r="D392" s="107">
        <v>538</v>
      </c>
      <c r="E392" s="256" t="s">
        <v>1617</v>
      </c>
      <c r="F392" s="82"/>
      <c r="G392" s="82">
        <v>1</v>
      </c>
      <c r="H392" s="67" t="s">
        <v>1166</v>
      </c>
      <c r="I392" s="158">
        <v>6131</v>
      </c>
      <c r="J392" s="107">
        <v>2</v>
      </c>
      <c r="K392" s="39">
        <v>6</v>
      </c>
      <c r="L392" s="152" t="s">
        <v>1122</v>
      </c>
      <c r="M392" s="153" t="s">
        <v>1123</v>
      </c>
      <c r="N392" s="42" t="s">
        <v>76</v>
      </c>
      <c r="O392" s="117" t="s">
        <v>88</v>
      </c>
      <c r="P392" s="67" t="s">
        <v>1571</v>
      </c>
      <c r="Q392" s="67" t="s">
        <v>1618</v>
      </c>
      <c r="R392" s="253" t="s">
        <v>1619</v>
      </c>
      <c r="S392" s="52">
        <f t="shared" si="93"/>
        <v>1037128.63</v>
      </c>
      <c r="T392" s="52">
        <v>1037128.63</v>
      </c>
      <c r="U392" s="52">
        <v>0</v>
      </c>
      <c r="V392" s="109" t="s">
        <v>1611</v>
      </c>
      <c r="W392" s="154">
        <v>41977</v>
      </c>
      <c r="X392" s="109"/>
      <c r="Y392" s="109" t="s">
        <v>234</v>
      </c>
      <c r="Z392" s="155"/>
      <c r="AA392" s="155"/>
      <c r="AB392" s="155">
        <f t="shared" si="94"/>
        <v>0</v>
      </c>
      <c r="AC392" s="109"/>
      <c r="AD392" s="154"/>
      <c r="AE392" s="51">
        <f t="shared" si="89"/>
        <v>0</v>
      </c>
      <c r="AF392" s="52">
        <f t="shared" si="90"/>
        <v>2703.9100000000326</v>
      </c>
      <c r="AG392" s="52">
        <v>1034424.72</v>
      </c>
      <c r="AH392" s="52">
        <f>310327.42+724097.3</f>
        <v>1034424.72</v>
      </c>
      <c r="AI392" s="52">
        <f t="shared" si="91"/>
        <v>0</v>
      </c>
      <c r="AJ392" s="163">
        <v>0</v>
      </c>
      <c r="AK392" s="52">
        <v>0</v>
      </c>
      <c r="AL392" s="52">
        <f t="shared" si="96"/>
        <v>0</v>
      </c>
      <c r="AM392" s="52">
        <f t="shared" si="84"/>
        <v>1034424.72</v>
      </c>
      <c r="AN392" s="51">
        <f t="shared" si="85"/>
        <v>1034424.72</v>
      </c>
      <c r="AO392" s="51">
        <f t="shared" si="97"/>
        <v>0</v>
      </c>
      <c r="AP392" s="125"/>
      <c r="AQ392" s="52">
        <v>267523.64</v>
      </c>
      <c r="AR392" s="52">
        <v>267523.64</v>
      </c>
      <c r="AS392" s="51">
        <f t="shared" si="95"/>
        <v>0</v>
      </c>
      <c r="AT392" s="126">
        <f t="shared" si="92"/>
        <v>2703.9100000000326</v>
      </c>
      <c r="AU392" s="109"/>
      <c r="AV392" s="67"/>
      <c r="AW392" s="4"/>
      <c r="AX392" s="4"/>
      <c r="AY392" s="4"/>
      <c r="AZ392" s="4"/>
      <c r="BA392" s="4"/>
      <c r="BB392" s="4"/>
    </row>
    <row r="393" spans="1:54" ht="25.35" hidden="1" customHeight="1" x14ac:dyDescent="0.2">
      <c r="A393" s="32">
        <v>636</v>
      </c>
      <c r="B393" s="94" t="s">
        <v>1615</v>
      </c>
      <c r="C393" s="116" t="s">
        <v>1616</v>
      </c>
      <c r="D393" s="107">
        <v>539</v>
      </c>
      <c r="E393" s="258"/>
      <c r="F393" s="36"/>
      <c r="G393" s="36">
        <v>1</v>
      </c>
      <c r="H393" s="33" t="s">
        <v>60</v>
      </c>
      <c r="I393" s="107">
        <v>6131</v>
      </c>
      <c r="J393" s="107">
        <v>2</v>
      </c>
      <c r="K393" s="39">
        <v>2</v>
      </c>
      <c r="L393" s="40" t="s">
        <v>61</v>
      </c>
      <c r="M393" s="147" t="s">
        <v>1123</v>
      </c>
      <c r="N393" s="42" t="s">
        <v>76</v>
      </c>
      <c r="O393" s="148" t="s">
        <v>88</v>
      </c>
      <c r="P393" s="46" t="s">
        <v>1571</v>
      </c>
      <c r="Q393" s="46" t="s">
        <v>1618</v>
      </c>
      <c r="R393" s="257"/>
      <c r="S393" s="52">
        <f t="shared" si="93"/>
        <v>1037128.63</v>
      </c>
      <c r="T393" s="52">
        <v>1037128.63</v>
      </c>
      <c r="U393" s="52">
        <v>0</v>
      </c>
      <c r="V393" s="109" t="s">
        <v>1611</v>
      </c>
      <c r="W393" s="63">
        <v>41977</v>
      </c>
      <c r="X393" s="48"/>
      <c r="Y393" s="109" t="s">
        <v>234</v>
      </c>
      <c r="Z393" s="45"/>
      <c r="AA393" s="45"/>
      <c r="AB393" s="45">
        <f t="shared" si="94"/>
        <v>0</v>
      </c>
      <c r="AC393" s="48"/>
      <c r="AD393" s="63"/>
      <c r="AE393" s="51">
        <f t="shared" si="89"/>
        <v>0</v>
      </c>
      <c r="AF393" s="52">
        <f t="shared" si="90"/>
        <v>2703.9000000000233</v>
      </c>
      <c r="AG393" s="52">
        <v>1034424.73</v>
      </c>
      <c r="AH393" s="52">
        <f>310327.41+724097.32</f>
        <v>1034424.73</v>
      </c>
      <c r="AI393" s="52">
        <f t="shared" si="91"/>
        <v>0</v>
      </c>
      <c r="AJ393" s="124">
        <v>0</v>
      </c>
      <c r="AK393" s="45">
        <v>0</v>
      </c>
      <c r="AL393" s="52">
        <f t="shared" si="96"/>
        <v>0</v>
      </c>
      <c r="AM393" s="52">
        <f t="shared" si="84"/>
        <v>1034424.73</v>
      </c>
      <c r="AN393" s="51">
        <f t="shared" si="85"/>
        <v>1034424.73</v>
      </c>
      <c r="AO393" s="51">
        <f t="shared" si="97"/>
        <v>0</v>
      </c>
      <c r="AP393" s="125"/>
      <c r="AQ393" s="52">
        <v>267523.63</v>
      </c>
      <c r="AR393" s="52">
        <v>267523.63</v>
      </c>
      <c r="AS393" s="51">
        <f t="shared" si="95"/>
        <v>0</v>
      </c>
      <c r="AT393" s="51">
        <f t="shared" si="92"/>
        <v>2703.9000000000233</v>
      </c>
      <c r="AU393" s="48"/>
      <c r="AV393" s="46"/>
    </row>
    <row r="394" spans="1:54" ht="25.35" hidden="1" customHeight="1" x14ac:dyDescent="0.2">
      <c r="A394" s="32">
        <v>636</v>
      </c>
      <c r="B394" s="94" t="s">
        <v>1620</v>
      </c>
      <c r="C394" s="116" t="s">
        <v>1621</v>
      </c>
      <c r="D394" s="107">
        <v>532</v>
      </c>
      <c r="E394" s="256" t="s">
        <v>1622</v>
      </c>
      <c r="F394" s="82"/>
      <c r="G394" s="82">
        <v>1</v>
      </c>
      <c r="H394" s="67" t="s">
        <v>1166</v>
      </c>
      <c r="I394" s="158">
        <v>6131</v>
      </c>
      <c r="J394" s="107">
        <v>2</v>
      </c>
      <c r="K394" s="39">
        <v>6</v>
      </c>
      <c r="L394" s="152" t="s">
        <v>1122</v>
      </c>
      <c r="M394" s="153" t="s">
        <v>1123</v>
      </c>
      <c r="N394" s="42" t="s">
        <v>76</v>
      </c>
      <c r="O394" s="117" t="s">
        <v>88</v>
      </c>
      <c r="P394" s="67" t="s">
        <v>804</v>
      </c>
      <c r="Q394" s="67" t="s">
        <v>1623</v>
      </c>
      <c r="R394" s="254"/>
      <c r="S394" s="52">
        <f t="shared" si="93"/>
        <v>159558.25</v>
      </c>
      <c r="T394" s="52">
        <v>159558.25</v>
      </c>
      <c r="U394" s="52">
        <v>0</v>
      </c>
      <c r="V394" s="109" t="s">
        <v>1611</v>
      </c>
      <c r="W394" s="154">
        <v>41977</v>
      </c>
      <c r="X394" s="109"/>
      <c r="Y394" s="109" t="s">
        <v>234</v>
      </c>
      <c r="Z394" s="155"/>
      <c r="AA394" s="155"/>
      <c r="AB394" s="155">
        <f t="shared" si="94"/>
        <v>0</v>
      </c>
      <c r="AC394" s="109"/>
      <c r="AD394" s="154"/>
      <c r="AE394" s="51">
        <f t="shared" si="89"/>
        <v>0</v>
      </c>
      <c r="AF394" s="52">
        <f t="shared" si="90"/>
        <v>415.98000000001048</v>
      </c>
      <c r="AG394" s="52">
        <v>159142.26999999999</v>
      </c>
      <c r="AH394" s="52">
        <f>47742.68+111399.59</f>
        <v>159142.26999999999</v>
      </c>
      <c r="AI394" s="52">
        <f t="shared" si="91"/>
        <v>0</v>
      </c>
      <c r="AJ394" s="163">
        <v>0</v>
      </c>
      <c r="AK394" s="52">
        <v>0</v>
      </c>
      <c r="AL394" s="52">
        <f t="shared" si="96"/>
        <v>0</v>
      </c>
      <c r="AM394" s="52">
        <f t="shared" si="84"/>
        <v>159142.26999999999</v>
      </c>
      <c r="AN394" s="51">
        <f t="shared" si="85"/>
        <v>159142.26999999999</v>
      </c>
      <c r="AO394" s="51">
        <f t="shared" si="97"/>
        <v>0</v>
      </c>
      <c r="AP394" s="125"/>
      <c r="AQ394" s="52">
        <v>41157.480000000003</v>
      </c>
      <c r="AR394" s="52">
        <v>41157.480000000003</v>
      </c>
      <c r="AS394" s="51">
        <f t="shared" si="95"/>
        <v>0</v>
      </c>
      <c r="AT394" s="126">
        <f t="shared" si="92"/>
        <v>415.98000000001048</v>
      </c>
      <c r="AU394" s="109"/>
      <c r="AV394" s="67"/>
      <c r="AW394" s="4"/>
      <c r="AX394" s="4"/>
      <c r="AY394" s="4"/>
      <c r="AZ394" s="4"/>
      <c r="BA394" s="4"/>
      <c r="BB394" s="4"/>
    </row>
    <row r="395" spans="1:54" ht="25.35" hidden="1" customHeight="1" x14ac:dyDescent="0.2">
      <c r="A395" s="32">
        <v>636</v>
      </c>
      <c r="B395" s="94" t="s">
        <v>1620</v>
      </c>
      <c r="C395" s="116" t="s">
        <v>1621</v>
      </c>
      <c r="D395" s="107">
        <v>533</v>
      </c>
      <c r="E395" s="258"/>
      <c r="F395" s="36"/>
      <c r="G395" s="36">
        <v>1</v>
      </c>
      <c r="H395" s="33" t="s">
        <v>60</v>
      </c>
      <c r="I395" s="107">
        <v>6131</v>
      </c>
      <c r="J395" s="107">
        <v>2</v>
      </c>
      <c r="K395" s="39">
        <v>2</v>
      </c>
      <c r="L395" s="40" t="s">
        <v>61</v>
      </c>
      <c r="M395" s="147" t="s">
        <v>1123</v>
      </c>
      <c r="N395" s="42" t="s">
        <v>76</v>
      </c>
      <c r="O395" s="148" t="s">
        <v>88</v>
      </c>
      <c r="P395" s="46" t="s">
        <v>804</v>
      </c>
      <c r="Q395" s="46" t="s">
        <v>1623</v>
      </c>
      <c r="R395" s="257"/>
      <c r="S395" s="52">
        <f t="shared" si="93"/>
        <v>159558.25</v>
      </c>
      <c r="T395" s="52">
        <v>159558.25</v>
      </c>
      <c r="U395" s="52">
        <v>0</v>
      </c>
      <c r="V395" s="109" t="s">
        <v>1611</v>
      </c>
      <c r="W395" s="63">
        <v>41977</v>
      </c>
      <c r="X395" s="48"/>
      <c r="Y395" s="109" t="s">
        <v>234</v>
      </c>
      <c r="Z395" s="45"/>
      <c r="AA395" s="45"/>
      <c r="AB395" s="45">
        <f t="shared" si="94"/>
        <v>0</v>
      </c>
      <c r="AC395" s="48"/>
      <c r="AD395" s="63"/>
      <c r="AE395" s="51">
        <f t="shared" si="89"/>
        <v>0</v>
      </c>
      <c r="AF395" s="52">
        <f t="shared" si="90"/>
        <v>415.98000000001048</v>
      </c>
      <c r="AG395" s="52">
        <v>159142.26999999999</v>
      </c>
      <c r="AH395" s="52">
        <f>47742.68+111399.58</f>
        <v>159142.26</v>
      </c>
      <c r="AI395" s="52">
        <f t="shared" si="91"/>
        <v>9.9999999802093953E-3</v>
      </c>
      <c r="AJ395" s="124">
        <v>0</v>
      </c>
      <c r="AK395" s="45">
        <v>0</v>
      </c>
      <c r="AL395" s="52">
        <f t="shared" si="96"/>
        <v>0</v>
      </c>
      <c r="AM395" s="52">
        <f t="shared" si="84"/>
        <v>159142.26999999999</v>
      </c>
      <c r="AN395" s="51">
        <f t="shared" si="85"/>
        <v>159142.26</v>
      </c>
      <c r="AO395" s="51">
        <f t="shared" si="97"/>
        <v>9.9999999802093953E-3</v>
      </c>
      <c r="AP395" s="125"/>
      <c r="AQ395" s="52">
        <v>41157.49</v>
      </c>
      <c r="AR395" s="52">
        <v>41157.49</v>
      </c>
      <c r="AS395" s="51">
        <f t="shared" si="95"/>
        <v>0</v>
      </c>
      <c r="AT395" s="51">
        <f t="shared" si="92"/>
        <v>415.98999999999069</v>
      </c>
      <c r="AU395" s="48"/>
      <c r="AV395" s="46"/>
    </row>
    <row r="396" spans="1:54" ht="25.35" hidden="1" customHeight="1" x14ac:dyDescent="0.2">
      <c r="A396" s="32">
        <v>636</v>
      </c>
      <c r="B396" s="94" t="s">
        <v>1624</v>
      </c>
      <c r="C396" s="116" t="s">
        <v>1625</v>
      </c>
      <c r="D396" s="107">
        <v>530</v>
      </c>
      <c r="E396" s="256" t="s">
        <v>1626</v>
      </c>
      <c r="F396" s="82"/>
      <c r="G396" s="82">
        <v>1</v>
      </c>
      <c r="H396" s="67" t="s">
        <v>1166</v>
      </c>
      <c r="I396" s="158">
        <v>6131</v>
      </c>
      <c r="J396" s="107">
        <v>2</v>
      </c>
      <c r="K396" s="39">
        <v>6</v>
      </c>
      <c r="L396" s="152" t="s">
        <v>1122</v>
      </c>
      <c r="M396" s="153" t="s">
        <v>1123</v>
      </c>
      <c r="N396" s="42" t="s">
        <v>76</v>
      </c>
      <c r="O396" s="117" t="s">
        <v>88</v>
      </c>
      <c r="P396" s="67" t="s">
        <v>190</v>
      </c>
      <c r="Q396" s="67" t="s">
        <v>666</v>
      </c>
      <c r="R396" s="254"/>
      <c r="S396" s="52">
        <f t="shared" si="93"/>
        <v>79779.13</v>
      </c>
      <c r="T396" s="52">
        <v>79779.13</v>
      </c>
      <c r="U396" s="52">
        <v>0</v>
      </c>
      <c r="V396" s="109" t="s">
        <v>1611</v>
      </c>
      <c r="W396" s="154">
        <v>41977</v>
      </c>
      <c r="X396" s="109"/>
      <c r="Y396" s="109" t="s">
        <v>234</v>
      </c>
      <c r="Z396" s="155"/>
      <c r="AA396" s="155"/>
      <c r="AB396" s="155">
        <f t="shared" si="94"/>
        <v>0</v>
      </c>
      <c r="AC396" s="109"/>
      <c r="AD396" s="154"/>
      <c r="AE396" s="51">
        <f t="shared" si="89"/>
        <v>0</v>
      </c>
      <c r="AF396" s="52">
        <f t="shared" si="90"/>
        <v>207.99000000000524</v>
      </c>
      <c r="AG396" s="52">
        <v>79571.14</v>
      </c>
      <c r="AH396" s="52">
        <f>23871.34+55699.8</f>
        <v>79571.14</v>
      </c>
      <c r="AI396" s="52">
        <f t="shared" si="91"/>
        <v>0</v>
      </c>
      <c r="AJ396" s="163">
        <v>0</v>
      </c>
      <c r="AK396" s="52">
        <v>0</v>
      </c>
      <c r="AL396" s="52">
        <f t="shared" si="96"/>
        <v>0</v>
      </c>
      <c r="AM396" s="52">
        <f t="shared" si="84"/>
        <v>79571.14</v>
      </c>
      <c r="AN396" s="51">
        <f t="shared" si="85"/>
        <v>79571.14</v>
      </c>
      <c r="AO396" s="51">
        <f t="shared" si="97"/>
        <v>0</v>
      </c>
      <c r="AP396" s="125"/>
      <c r="AQ396" s="52">
        <v>20578.740000000002</v>
      </c>
      <c r="AR396" s="52">
        <v>20578.740000000002</v>
      </c>
      <c r="AS396" s="51">
        <f t="shared" si="95"/>
        <v>0</v>
      </c>
      <c r="AT396" s="126">
        <f t="shared" si="92"/>
        <v>207.99000000000524</v>
      </c>
      <c r="AU396" s="109"/>
      <c r="AV396" s="67"/>
      <c r="AW396" s="4"/>
      <c r="AX396" s="4"/>
      <c r="AY396" s="4"/>
      <c r="AZ396" s="4"/>
      <c r="BA396" s="4"/>
      <c r="BB396" s="4"/>
    </row>
    <row r="397" spans="1:54" ht="25.35" hidden="1" customHeight="1" x14ac:dyDescent="0.2">
      <c r="A397" s="32">
        <v>636</v>
      </c>
      <c r="B397" s="94" t="s">
        <v>1624</v>
      </c>
      <c r="C397" s="116" t="s">
        <v>1625</v>
      </c>
      <c r="D397" s="107">
        <v>531</v>
      </c>
      <c r="E397" s="258"/>
      <c r="F397" s="36"/>
      <c r="G397" s="36">
        <v>1</v>
      </c>
      <c r="H397" s="33" t="s">
        <v>60</v>
      </c>
      <c r="I397" s="107">
        <v>6131</v>
      </c>
      <c r="J397" s="107">
        <v>2</v>
      </c>
      <c r="K397" s="39">
        <v>1</v>
      </c>
      <c r="L397" s="118" t="s">
        <v>137</v>
      </c>
      <c r="M397" s="147" t="s">
        <v>1123</v>
      </c>
      <c r="N397" s="42" t="s">
        <v>76</v>
      </c>
      <c r="O397" s="148" t="s">
        <v>88</v>
      </c>
      <c r="P397" s="46" t="s">
        <v>190</v>
      </c>
      <c r="Q397" s="46" t="s">
        <v>666</v>
      </c>
      <c r="R397" s="257"/>
      <c r="S397" s="52">
        <f t="shared" si="93"/>
        <v>79779.13</v>
      </c>
      <c r="T397" s="52">
        <v>79779.13</v>
      </c>
      <c r="U397" s="52">
        <v>0</v>
      </c>
      <c r="V397" s="109" t="s">
        <v>1611</v>
      </c>
      <c r="W397" s="63">
        <v>41977</v>
      </c>
      <c r="X397" s="48"/>
      <c r="Y397" s="109" t="s">
        <v>234</v>
      </c>
      <c r="Z397" s="45"/>
      <c r="AA397" s="45"/>
      <c r="AB397" s="45">
        <f t="shared" si="94"/>
        <v>0</v>
      </c>
      <c r="AC397" s="48"/>
      <c r="AD397" s="63"/>
      <c r="AE397" s="51">
        <f t="shared" si="89"/>
        <v>0</v>
      </c>
      <c r="AF397" s="52">
        <f t="shared" si="90"/>
        <v>208</v>
      </c>
      <c r="AG397" s="52">
        <v>79571.13</v>
      </c>
      <c r="AH397" s="52">
        <f>23871.34+55699.79</f>
        <v>79571.13</v>
      </c>
      <c r="AI397" s="52">
        <f t="shared" si="91"/>
        <v>0</v>
      </c>
      <c r="AJ397" s="124">
        <v>0</v>
      </c>
      <c r="AK397" s="45">
        <v>0</v>
      </c>
      <c r="AL397" s="52">
        <f t="shared" si="96"/>
        <v>0</v>
      </c>
      <c r="AM397" s="52">
        <f t="shared" ref="AM397:AM460" si="98">SUM(AG397+Z397)+AJ397</f>
        <v>79571.13</v>
      </c>
      <c r="AN397" s="51">
        <f t="shared" ref="AN397:AN460" si="99">SUM(AA397+AH397)+AK397</f>
        <v>79571.13</v>
      </c>
      <c r="AO397" s="51">
        <f t="shared" si="97"/>
        <v>0</v>
      </c>
      <c r="AP397" s="125"/>
      <c r="AQ397" s="52">
        <v>20578.740000000002</v>
      </c>
      <c r="AR397" s="52">
        <v>20578.740000000002</v>
      </c>
      <c r="AS397" s="51">
        <f t="shared" si="95"/>
        <v>0</v>
      </c>
      <c r="AT397" s="51">
        <f t="shared" si="92"/>
        <v>208</v>
      </c>
      <c r="AU397" s="48"/>
      <c r="AV397" s="46"/>
    </row>
    <row r="398" spans="1:54" ht="25.35" hidden="1" customHeight="1" x14ac:dyDescent="0.2">
      <c r="A398" s="32">
        <v>636</v>
      </c>
      <c r="B398" s="94" t="s">
        <v>1627</v>
      </c>
      <c r="C398" s="116" t="s">
        <v>1628</v>
      </c>
      <c r="D398" s="107">
        <v>1232</v>
      </c>
      <c r="E398" s="256" t="s">
        <v>1629</v>
      </c>
      <c r="F398" s="82"/>
      <c r="G398" s="82">
        <v>1</v>
      </c>
      <c r="H398" s="67" t="s">
        <v>1166</v>
      </c>
      <c r="I398" s="158">
        <v>6131</v>
      </c>
      <c r="J398" s="107">
        <v>2</v>
      </c>
      <c r="K398" s="39">
        <v>6</v>
      </c>
      <c r="L398" s="152" t="s">
        <v>1122</v>
      </c>
      <c r="M398" s="153" t="s">
        <v>1123</v>
      </c>
      <c r="N398" s="42" t="s">
        <v>76</v>
      </c>
      <c r="O398" s="117" t="s">
        <v>88</v>
      </c>
      <c r="P398" s="67" t="s">
        <v>786</v>
      </c>
      <c r="Q398" s="67" t="s">
        <v>1266</v>
      </c>
      <c r="R398" s="254"/>
      <c r="S398" s="52">
        <f t="shared" si="93"/>
        <v>63823.3</v>
      </c>
      <c r="T398" s="52">
        <v>63823.3</v>
      </c>
      <c r="U398" s="52">
        <v>0</v>
      </c>
      <c r="V398" s="109" t="s">
        <v>1611</v>
      </c>
      <c r="W398" s="154">
        <v>41977</v>
      </c>
      <c r="X398" s="109"/>
      <c r="Y398" s="109" t="s">
        <v>234</v>
      </c>
      <c r="Z398" s="155"/>
      <c r="AA398" s="155"/>
      <c r="AB398" s="155">
        <f t="shared" si="94"/>
        <v>0</v>
      </c>
      <c r="AC398" s="109"/>
      <c r="AD398" s="154"/>
      <c r="AE398" s="51">
        <f t="shared" si="89"/>
        <v>0</v>
      </c>
      <c r="AF398" s="52">
        <f t="shared" si="90"/>
        <v>166.38999999999942</v>
      </c>
      <c r="AG398" s="52">
        <v>63656.91</v>
      </c>
      <c r="AH398" s="52">
        <f>19097.08+44559.83</f>
        <v>63656.91</v>
      </c>
      <c r="AI398" s="52">
        <f t="shared" si="91"/>
        <v>0</v>
      </c>
      <c r="AJ398" s="163">
        <v>0</v>
      </c>
      <c r="AK398" s="52">
        <v>0</v>
      </c>
      <c r="AL398" s="52">
        <f t="shared" si="96"/>
        <v>0</v>
      </c>
      <c r="AM398" s="52">
        <f t="shared" si="98"/>
        <v>63656.91</v>
      </c>
      <c r="AN398" s="51">
        <f t="shared" si="99"/>
        <v>63656.91</v>
      </c>
      <c r="AO398" s="51">
        <f t="shared" si="97"/>
        <v>0</v>
      </c>
      <c r="AP398" s="125"/>
      <c r="AQ398" s="52">
        <v>16463</v>
      </c>
      <c r="AR398" s="52">
        <v>16463</v>
      </c>
      <c r="AS398" s="51">
        <f t="shared" si="95"/>
        <v>0</v>
      </c>
      <c r="AT398" s="126">
        <f t="shared" si="92"/>
        <v>166.38999999999942</v>
      </c>
      <c r="AU398" s="109"/>
      <c r="AV398" s="67"/>
      <c r="AW398" s="4"/>
      <c r="AX398" s="4"/>
      <c r="AY398" s="4"/>
      <c r="AZ398" s="4"/>
      <c r="BA398" s="4"/>
      <c r="BB398" s="4"/>
    </row>
    <row r="399" spans="1:54" ht="25.35" hidden="1" customHeight="1" x14ac:dyDescent="0.2">
      <c r="A399" s="32">
        <v>636</v>
      </c>
      <c r="B399" s="94" t="s">
        <v>1627</v>
      </c>
      <c r="C399" s="116" t="s">
        <v>1628</v>
      </c>
      <c r="D399" s="107">
        <v>1233</v>
      </c>
      <c r="E399" s="258"/>
      <c r="F399" s="36"/>
      <c r="G399" s="36">
        <v>1</v>
      </c>
      <c r="H399" s="33" t="s">
        <v>60</v>
      </c>
      <c r="I399" s="107">
        <v>6131</v>
      </c>
      <c r="J399" s="107">
        <v>2</v>
      </c>
      <c r="K399" s="39">
        <v>2</v>
      </c>
      <c r="L399" s="40" t="s">
        <v>61</v>
      </c>
      <c r="M399" s="147" t="s">
        <v>1123</v>
      </c>
      <c r="N399" s="42" t="s">
        <v>76</v>
      </c>
      <c r="O399" s="148" t="s">
        <v>88</v>
      </c>
      <c r="P399" s="46" t="s">
        <v>786</v>
      </c>
      <c r="Q399" s="46" t="s">
        <v>1266</v>
      </c>
      <c r="R399" s="257"/>
      <c r="S399" s="52">
        <f t="shared" si="93"/>
        <v>63823.3</v>
      </c>
      <c r="T399" s="52">
        <v>63823.3</v>
      </c>
      <c r="U399" s="52">
        <v>0</v>
      </c>
      <c r="V399" s="109" t="s">
        <v>1611</v>
      </c>
      <c r="W399" s="63">
        <v>41977</v>
      </c>
      <c r="X399" s="48"/>
      <c r="Y399" s="109" t="s">
        <v>234</v>
      </c>
      <c r="Z399" s="45"/>
      <c r="AA399" s="45"/>
      <c r="AB399" s="45">
        <f t="shared" si="94"/>
        <v>0</v>
      </c>
      <c r="AC399" s="48"/>
      <c r="AD399" s="63"/>
      <c r="AE399" s="51">
        <f t="shared" si="89"/>
        <v>0</v>
      </c>
      <c r="AF399" s="52">
        <f t="shared" si="90"/>
        <v>166.38999999999942</v>
      </c>
      <c r="AG399" s="52">
        <v>63656.91</v>
      </c>
      <c r="AH399" s="52">
        <f>19097.07+44559.84</f>
        <v>63656.909999999996</v>
      </c>
      <c r="AI399" s="52">
        <f t="shared" si="91"/>
        <v>7.2759576141834259E-12</v>
      </c>
      <c r="AJ399" s="124">
        <v>0</v>
      </c>
      <c r="AK399" s="45">
        <v>0</v>
      </c>
      <c r="AL399" s="52">
        <f t="shared" si="96"/>
        <v>0</v>
      </c>
      <c r="AM399" s="52">
        <f t="shared" si="98"/>
        <v>63656.91</v>
      </c>
      <c r="AN399" s="51">
        <f t="shared" si="99"/>
        <v>63656.909999999996</v>
      </c>
      <c r="AO399" s="51">
        <f t="shared" si="97"/>
        <v>0</v>
      </c>
      <c r="AP399" s="125"/>
      <c r="AQ399" s="52">
        <v>16462.990000000002</v>
      </c>
      <c r="AR399" s="52">
        <v>16462.990000000002</v>
      </c>
      <c r="AS399" s="51">
        <f t="shared" si="95"/>
        <v>0</v>
      </c>
      <c r="AT399" s="51">
        <f t="shared" si="92"/>
        <v>166.39000000000669</v>
      </c>
      <c r="AU399" s="48"/>
      <c r="AV399" s="46"/>
    </row>
    <row r="400" spans="1:54" ht="25.35" hidden="1" customHeight="1" x14ac:dyDescent="0.2">
      <c r="A400" s="32">
        <v>636</v>
      </c>
      <c r="B400" s="94" t="s">
        <v>1630</v>
      </c>
      <c r="C400" s="116" t="s">
        <v>1631</v>
      </c>
      <c r="D400" s="107">
        <v>1230</v>
      </c>
      <c r="E400" s="256" t="s">
        <v>1632</v>
      </c>
      <c r="F400" s="82"/>
      <c r="G400" s="82">
        <v>1</v>
      </c>
      <c r="H400" s="67" t="s">
        <v>1166</v>
      </c>
      <c r="I400" s="158">
        <v>6131</v>
      </c>
      <c r="J400" s="107">
        <v>2</v>
      </c>
      <c r="K400" s="39">
        <v>6</v>
      </c>
      <c r="L400" s="152" t="s">
        <v>1122</v>
      </c>
      <c r="M400" s="153" t="s">
        <v>1123</v>
      </c>
      <c r="N400" s="42" t="s">
        <v>76</v>
      </c>
      <c r="O400" s="117" t="s">
        <v>88</v>
      </c>
      <c r="P400" s="67" t="s">
        <v>104</v>
      </c>
      <c r="Q400" s="67" t="s">
        <v>1633</v>
      </c>
      <c r="R400" s="254"/>
      <c r="S400" s="52">
        <f t="shared" si="93"/>
        <v>143602.43</v>
      </c>
      <c r="T400" s="52">
        <v>143602.43</v>
      </c>
      <c r="U400" s="52">
        <v>0</v>
      </c>
      <c r="V400" s="109" t="s">
        <v>1611</v>
      </c>
      <c r="W400" s="154">
        <v>41977</v>
      </c>
      <c r="X400" s="109"/>
      <c r="Y400" s="109" t="s">
        <v>234</v>
      </c>
      <c r="Z400" s="155"/>
      <c r="AA400" s="155"/>
      <c r="AB400" s="155">
        <f t="shared" si="94"/>
        <v>0</v>
      </c>
      <c r="AC400" s="109"/>
      <c r="AD400" s="154"/>
      <c r="AE400" s="51">
        <f t="shared" si="89"/>
        <v>0</v>
      </c>
      <c r="AF400" s="52">
        <f t="shared" si="90"/>
        <v>374.39999999999418</v>
      </c>
      <c r="AG400" s="52">
        <v>143228.03</v>
      </c>
      <c r="AH400" s="52">
        <f>42968.41+100259.62</f>
        <v>143228.03</v>
      </c>
      <c r="AI400" s="52">
        <f t="shared" si="91"/>
        <v>0</v>
      </c>
      <c r="AJ400" s="163">
        <v>0</v>
      </c>
      <c r="AK400" s="52">
        <v>0</v>
      </c>
      <c r="AL400" s="52">
        <f t="shared" si="96"/>
        <v>0</v>
      </c>
      <c r="AM400" s="52">
        <f t="shared" si="98"/>
        <v>143228.03</v>
      </c>
      <c r="AN400" s="51">
        <f t="shared" si="99"/>
        <v>143228.03</v>
      </c>
      <c r="AO400" s="51">
        <f t="shared" si="97"/>
        <v>0</v>
      </c>
      <c r="AP400" s="125"/>
      <c r="AQ400" s="52">
        <v>37041.730000000003</v>
      </c>
      <c r="AR400" s="52">
        <v>37041.730000000003</v>
      </c>
      <c r="AS400" s="51">
        <f t="shared" si="95"/>
        <v>0</v>
      </c>
      <c r="AT400" s="126">
        <f t="shared" si="92"/>
        <v>374.39999999999418</v>
      </c>
      <c r="AU400" s="109"/>
      <c r="AV400" s="67"/>
      <c r="AW400" s="4"/>
      <c r="AX400" s="4"/>
      <c r="AY400" s="4"/>
      <c r="AZ400" s="4"/>
      <c r="BA400" s="4"/>
      <c r="BB400" s="4"/>
    </row>
    <row r="401" spans="1:54" ht="25.35" hidden="1" customHeight="1" x14ac:dyDescent="0.2">
      <c r="A401" s="32">
        <v>636</v>
      </c>
      <c r="B401" s="94" t="s">
        <v>1630</v>
      </c>
      <c r="C401" s="116" t="s">
        <v>1631</v>
      </c>
      <c r="D401" s="107">
        <v>1231</v>
      </c>
      <c r="E401" s="258"/>
      <c r="F401" s="36"/>
      <c r="G401" s="36">
        <v>1</v>
      </c>
      <c r="H401" s="67" t="s">
        <v>60</v>
      </c>
      <c r="I401" s="158">
        <v>6131</v>
      </c>
      <c r="J401" s="107">
        <v>2</v>
      </c>
      <c r="K401" s="39">
        <v>2</v>
      </c>
      <c r="L401" s="157" t="s">
        <v>61</v>
      </c>
      <c r="M401" s="153" t="s">
        <v>1123</v>
      </c>
      <c r="N401" s="42" t="s">
        <v>76</v>
      </c>
      <c r="O401" s="117" t="s">
        <v>88</v>
      </c>
      <c r="P401" s="67" t="s">
        <v>104</v>
      </c>
      <c r="Q401" s="67" t="s">
        <v>1633</v>
      </c>
      <c r="R401" s="255"/>
      <c r="S401" s="52">
        <f t="shared" si="93"/>
        <v>143602.43</v>
      </c>
      <c r="T401" s="52">
        <v>143602.43</v>
      </c>
      <c r="U401" s="52">
        <v>0</v>
      </c>
      <c r="V401" s="109" t="s">
        <v>1611</v>
      </c>
      <c r="W401" s="154">
        <v>41977</v>
      </c>
      <c r="X401" s="109"/>
      <c r="Y401" s="109" t="s">
        <v>234</v>
      </c>
      <c r="Z401" s="155"/>
      <c r="AA401" s="155"/>
      <c r="AB401" s="155">
        <f t="shared" si="94"/>
        <v>0</v>
      </c>
      <c r="AC401" s="109"/>
      <c r="AD401" s="154"/>
      <c r="AE401" s="51">
        <f t="shared" si="89"/>
        <v>0</v>
      </c>
      <c r="AF401" s="52">
        <f t="shared" si="90"/>
        <v>374.38999999998487</v>
      </c>
      <c r="AG401" s="52">
        <v>143228.04</v>
      </c>
      <c r="AH401" s="52">
        <f>42968.41+100259.63</f>
        <v>143228.04</v>
      </c>
      <c r="AI401" s="52">
        <f t="shared" si="91"/>
        <v>0</v>
      </c>
      <c r="AJ401" s="156">
        <v>0</v>
      </c>
      <c r="AK401" s="155">
        <v>0</v>
      </c>
      <c r="AL401" s="52">
        <f t="shared" si="96"/>
        <v>0</v>
      </c>
      <c r="AM401" s="52">
        <f t="shared" si="98"/>
        <v>143228.04</v>
      </c>
      <c r="AN401" s="51">
        <f t="shared" si="99"/>
        <v>143228.04</v>
      </c>
      <c r="AO401" s="51">
        <f t="shared" si="97"/>
        <v>0</v>
      </c>
      <c r="AP401" s="125"/>
      <c r="AQ401" s="52">
        <v>37041.74</v>
      </c>
      <c r="AR401" s="52">
        <v>37041.74</v>
      </c>
      <c r="AS401" s="51">
        <f t="shared" si="95"/>
        <v>0</v>
      </c>
      <c r="AT401" s="51">
        <f t="shared" si="92"/>
        <v>374.38999999998487</v>
      </c>
      <c r="AU401" s="109"/>
      <c r="AV401" s="67"/>
      <c r="AW401" s="4"/>
      <c r="AX401" s="4"/>
      <c r="AY401" s="4"/>
      <c r="AZ401" s="4"/>
      <c r="BA401" s="4"/>
      <c r="BB401" s="4"/>
    </row>
    <row r="402" spans="1:54" ht="28.5" hidden="1" customHeight="1" x14ac:dyDescent="0.2">
      <c r="A402" s="32">
        <v>636</v>
      </c>
      <c r="B402" s="94" t="s">
        <v>1634</v>
      </c>
      <c r="C402" s="116" t="s">
        <v>1635</v>
      </c>
      <c r="D402" s="107">
        <v>540</v>
      </c>
      <c r="E402" s="256" t="s">
        <v>1636</v>
      </c>
      <c r="F402" s="82"/>
      <c r="G402" s="82">
        <v>1</v>
      </c>
      <c r="H402" s="67" t="s">
        <v>1166</v>
      </c>
      <c r="I402" s="158">
        <v>6131</v>
      </c>
      <c r="J402" s="107">
        <v>2</v>
      </c>
      <c r="K402" s="39">
        <v>6</v>
      </c>
      <c r="L402" s="152" t="s">
        <v>1122</v>
      </c>
      <c r="M402" s="153" t="s">
        <v>1123</v>
      </c>
      <c r="N402" s="42" t="s">
        <v>76</v>
      </c>
      <c r="O402" s="117" t="s">
        <v>88</v>
      </c>
      <c r="P402" s="67" t="s">
        <v>238</v>
      </c>
      <c r="Q402" s="67" t="s">
        <v>780</v>
      </c>
      <c r="R402" s="253" t="s">
        <v>1637</v>
      </c>
      <c r="S402" s="52">
        <f t="shared" si="93"/>
        <v>1228598.53</v>
      </c>
      <c r="T402" s="52">
        <v>1228598.53</v>
      </c>
      <c r="U402" s="52">
        <v>0</v>
      </c>
      <c r="V402" s="109" t="s">
        <v>1611</v>
      </c>
      <c r="W402" s="154">
        <v>41977</v>
      </c>
      <c r="X402" s="109"/>
      <c r="Y402" s="109" t="s">
        <v>234</v>
      </c>
      <c r="Z402" s="155"/>
      <c r="AA402" s="155"/>
      <c r="AB402" s="155">
        <f t="shared" si="94"/>
        <v>0</v>
      </c>
      <c r="AC402" s="109"/>
      <c r="AD402" s="154"/>
      <c r="AE402" s="51">
        <f t="shared" si="89"/>
        <v>0</v>
      </c>
      <c r="AF402" s="52">
        <f t="shared" si="90"/>
        <v>777.22999999998137</v>
      </c>
      <c r="AG402" s="52">
        <v>1227821.3</v>
      </c>
      <c r="AH402" s="52">
        <f>368346.39+859474.91</f>
        <v>1227821.3</v>
      </c>
      <c r="AI402" s="52">
        <f t="shared" si="91"/>
        <v>0</v>
      </c>
      <c r="AJ402" s="163">
        <v>0</v>
      </c>
      <c r="AK402" s="52">
        <v>0</v>
      </c>
      <c r="AL402" s="52">
        <f t="shared" si="96"/>
        <v>0</v>
      </c>
      <c r="AM402" s="52">
        <f t="shared" si="98"/>
        <v>1227821.3</v>
      </c>
      <c r="AN402" s="51">
        <f t="shared" si="99"/>
        <v>1227821.3</v>
      </c>
      <c r="AO402" s="51">
        <f t="shared" si="97"/>
        <v>0</v>
      </c>
      <c r="AP402" s="125"/>
      <c r="AQ402" s="52">
        <v>317539.99</v>
      </c>
      <c r="AR402" s="51">
        <v>317539.99</v>
      </c>
      <c r="AS402" s="51">
        <f t="shared" si="95"/>
        <v>0</v>
      </c>
      <c r="AT402" s="126">
        <f t="shared" si="92"/>
        <v>777.22999999998137</v>
      </c>
      <c r="AU402" s="109"/>
      <c r="AV402" s="67"/>
      <c r="AW402" s="4"/>
      <c r="AX402" s="4"/>
      <c r="AY402" s="4"/>
      <c r="AZ402" s="4"/>
      <c r="BA402" s="4"/>
      <c r="BB402" s="4"/>
    </row>
    <row r="403" spans="1:54" ht="27" hidden="1" customHeight="1" x14ac:dyDescent="0.2">
      <c r="A403" s="32">
        <v>636</v>
      </c>
      <c r="B403" s="94" t="s">
        <v>1634</v>
      </c>
      <c r="C403" s="116" t="s">
        <v>1635</v>
      </c>
      <c r="D403" s="107">
        <v>541</v>
      </c>
      <c r="E403" s="258"/>
      <c r="F403" s="36"/>
      <c r="G403" s="36">
        <v>1</v>
      </c>
      <c r="H403" s="67" t="s">
        <v>60</v>
      </c>
      <c r="I403" s="158">
        <v>6131</v>
      </c>
      <c r="J403" s="107">
        <v>2</v>
      </c>
      <c r="K403" s="39">
        <v>2</v>
      </c>
      <c r="L403" s="157" t="s">
        <v>61</v>
      </c>
      <c r="M403" s="153" t="s">
        <v>1123</v>
      </c>
      <c r="N403" s="42" t="s">
        <v>76</v>
      </c>
      <c r="O403" s="117" t="s">
        <v>88</v>
      </c>
      <c r="P403" s="67" t="s">
        <v>238</v>
      </c>
      <c r="Q403" s="67" t="s">
        <v>780</v>
      </c>
      <c r="R403" s="255"/>
      <c r="S403" s="52">
        <f t="shared" si="93"/>
        <v>1228598.53</v>
      </c>
      <c r="T403" s="52">
        <v>1228598.53</v>
      </c>
      <c r="U403" s="52">
        <v>0</v>
      </c>
      <c r="V403" s="109" t="s">
        <v>1611</v>
      </c>
      <c r="W403" s="154">
        <v>41977</v>
      </c>
      <c r="X403" s="109"/>
      <c r="Y403" s="109" t="s">
        <v>234</v>
      </c>
      <c r="Z403" s="155"/>
      <c r="AA403" s="155"/>
      <c r="AB403" s="155">
        <f t="shared" si="94"/>
        <v>0</v>
      </c>
      <c r="AC403" s="109"/>
      <c r="AD403" s="154"/>
      <c r="AE403" s="51">
        <f t="shared" ref="AE403:AE460" si="100">U403-Z403</f>
        <v>0</v>
      </c>
      <c r="AF403" s="52">
        <f t="shared" si="90"/>
        <v>777.22999999998137</v>
      </c>
      <c r="AG403" s="52">
        <v>1227821.3</v>
      </c>
      <c r="AH403" s="52">
        <f>368346.39+859474.91</f>
        <v>1227821.3</v>
      </c>
      <c r="AI403" s="52">
        <f t="shared" si="91"/>
        <v>0</v>
      </c>
      <c r="AJ403" s="156">
        <v>0</v>
      </c>
      <c r="AK403" s="155">
        <v>0</v>
      </c>
      <c r="AL403" s="52">
        <f t="shared" si="96"/>
        <v>0</v>
      </c>
      <c r="AM403" s="52">
        <f t="shared" si="98"/>
        <v>1227821.3</v>
      </c>
      <c r="AN403" s="51">
        <f t="shared" si="99"/>
        <v>1227821.3</v>
      </c>
      <c r="AO403" s="51">
        <f t="shared" si="97"/>
        <v>0</v>
      </c>
      <c r="AP403" s="125"/>
      <c r="AQ403" s="52">
        <v>317539.99</v>
      </c>
      <c r="AR403" s="51">
        <v>317539.99</v>
      </c>
      <c r="AS403" s="51">
        <f t="shared" si="95"/>
        <v>0</v>
      </c>
      <c r="AT403" s="126">
        <f t="shared" si="92"/>
        <v>777.22999999998137</v>
      </c>
      <c r="AU403" s="109"/>
      <c r="AV403" s="67"/>
      <c r="AW403" s="4"/>
      <c r="AX403" s="4"/>
      <c r="AY403" s="4"/>
      <c r="AZ403" s="4"/>
      <c r="BA403" s="4"/>
      <c r="BB403" s="4"/>
    </row>
    <row r="404" spans="1:54" ht="20.25" hidden="1" customHeight="1" x14ac:dyDescent="0.2">
      <c r="A404" s="32">
        <v>636</v>
      </c>
      <c r="B404" s="94" t="s">
        <v>1638</v>
      </c>
      <c r="C404" s="116" t="s">
        <v>1639</v>
      </c>
      <c r="D404" s="107">
        <v>1260</v>
      </c>
      <c r="E404" s="253" t="s">
        <v>1640</v>
      </c>
      <c r="F404" s="82"/>
      <c r="G404" s="82"/>
      <c r="H404" s="33" t="s">
        <v>1275</v>
      </c>
      <c r="I404" s="107">
        <v>6242</v>
      </c>
      <c r="J404" s="107">
        <v>1</v>
      </c>
      <c r="K404" s="39">
        <v>5</v>
      </c>
      <c r="L404" s="118" t="s">
        <v>1276</v>
      </c>
      <c r="M404" s="147" t="s">
        <v>108</v>
      </c>
      <c r="N404" s="42" t="s">
        <v>63</v>
      </c>
      <c r="O404" s="148" t="s">
        <v>88</v>
      </c>
      <c r="P404" s="46" t="s">
        <v>331</v>
      </c>
      <c r="Q404" s="46" t="s">
        <v>1641</v>
      </c>
      <c r="R404" s="256" t="s">
        <v>1642</v>
      </c>
      <c r="S404" s="45">
        <f t="shared" si="93"/>
        <v>37023.31</v>
      </c>
      <c r="T404" s="45">
        <f>37768-744.69</f>
        <v>37023.31</v>
      </c>
      <c r="U404" s="45">
        <v>0</v>
      </c>
      <c r="V404" s="109" t="s">
        <v>1643</v>
      </c>
      <c r="W404" s="63">
        <v>41977</v>
      </c>
      <c r="X404" s="48"/>
      <c r="Y404" s="109" t="s">
        <v>234</v>
      </c>
      <c r="Z404" s="45"/>
      <c r="AA404" s="45"/>
      <c r="AB404" s="45"/>
      <c r="AC404" s="48"/>
      <c r="AD404" s="63"/>
      <c r="AE404" s="51">
        <f t="shared" si="100"/>
        <v>0</v>
      </c>
      <c r="AF404" s="52">
        <f t="shared" ref="AF404:AF461" si="101">T404-AG404-AJ404</f>
        <v>0</v>
      </c>
      <c r="AG404" s="52">
        <v>37023.31</v>
      </c>
      <c r="AH404" s="52">
        <f>18511.66+18511.65</f>
        <v>37023.31</v>
      </c>
      <c r="AI404" s="52">
        <f t="shared" si="91"/>
        <v>0</v>
      </c>
      <c r="AJ404" s="124">
        <v>0</v>
      </c>
      <c r="AK404" s="45">
        <v>0</v>
      </c>
      <c r="AL404" s="52">
        <f t="shared" si="96"/>
        <v>0</v>
      </c>
      <c r="AM404" s="52">
        <f t="shared" si="98"/>
        <v>37023.31</v>
      </c>
      <c r="AN404" s="51">
        <f t="shared" si="99"/>
        <v>37023.31</v>
      </c>
      <c r="AO404" s="51">
        <f t="shared" si="97"/>
        <v>0</v>
      </c>
      <c r="AP404" s="125" t="s">
        <v>948</v>
      </c>
      <c r="AQ404" s="52">
        <v>15958.33</v>
      </c>
      <c r="AR404" s="51">
        <v>15958.33</v>
      </c>
      <c r="AS404" s="51">
        <f t="shared" si="95"/>
        <v>0</v>
      </c>
      <c r="AT404" s="126">
        <f t="shared" si="92"/>
        <v>0</v>
      </c>
      <c r="AU404" s="48"/>
      <c r="AV404" s="46"/>
    </row>
    <row r="405" spans="1:54" ht="20.25" hidden="1" customHeight="1" x14ac:dyDescent="0.2">
      <c r="A405" s="32">
        <v>636</v>
      </c>
      <c r="B405" s="94" t="s">
        <v>1638</v>
      </c>
      <c r="C405" s="116" t="s">
        <v>1639</v>
      </c>
      <c r="D405" s="107">
        <v>1261</v>
      </c>
      <c r="E405" s="255"/>
      <c r="F405" s="36"/>
      <c r="G405" s="36"/>
      <c r="H405" s="33" t="s">
        <v>60</v>
      </c>
      <c r="I405" s="107">
        <v>6242</v>
      </c>
      <c r="J405" s="107">
        <v>1</v>
      </c>
      <c r="K405" s="39">
        <v>2</v>
      </c>
      <c r="L405" s="40" t="s">
        <v>61</v>
      </c>
      <c r="M405" s="147" t="s">
        <v>108</v>
      </c>
      <c r="N405" s="42" t="s">
        <v>63</v>
      </c>
      <c r="O405" s="148" t="s">
        <v>88</v>
      </c>
      <c r="P405" s="46" t="s">
        <v>331</v>
      </c>
      <c r="Q405" s="46" t="s">
        <v>1641</v>
      </c>
      <c r="R405" s="257"/>
      <c r="S405" s="45">
        <f t="shared" si="93"/>
        <v>25179</v>
      </c>
      <c r="T405" s="45">
        <v>25179</v>
      </c>
      <c r="U405" s="45">
        <v>0</v>
      </c>
      <c r="V405" s="109" t="s">
        <v>1643</v>
      </c>
      <c r="W405" s="63">
        <v>41977</v>
      </c>
      <c r="X405" s="48"/>
      <c r="Y405" s="109" t="s">
        <v>234</v>
      </c>
      <c r="Z405" s="45"/>
      <c r="AA405" s="45"/>
      <c r="AB405" s="45"/>
      <c r="AC405" s="48"/>
      <c r="AD405" s="63"/>
      <c r="AE405" s="51">
        <f t="shared" si="100"/>
        <v>0</v>
      </c>
      <c r="AF405" s="52">
        <f t="shared" si="101"/>
        <v>496.79000000000087</v>
      </c>
      <c r="AG405" s="52">
        <v>24682.21</v>
      </c>
      <c r="AH405" s="52">
        <f>12341.1+12341.11</f>
        <v>24682.21</v>
      </c>
      <c r="AI405" s="52">
        <f t="shared" si="91"/>
        <v>0</v>
      </c>
      <c r="AJ405" s="124">
        <v>0</v>
      </c>
      <c r="AK405" s="45">
        <v>0</v>
      </c>
      <c r="AL405" s="52">
        <f t="shared" si="96"/>
        <v>0</v>
      </c>
      <c r="AM405" s="52">
        <f t="shared" si="98"/>
        <v>24682.21</v>
      </c>
      <c r="AN405" s="51">
        <f t="shared" si="99"/>
        <v>24682.21</v>
      </c>
      <c r="AO405" s="51">
        <f t="shared" si="97"/>
        <v>0</v>
      </c>
      <c r="AP405" s="125" t="s">
        <v>948</v>
      </c>
      <c r="AQ405" s="52">
        <v>10638.88</v>
      </c>
      <c r="AR405" s="51">
        <v>10638.88</v>
      </c>
      <c r="AS405" s="51">
        <f t="shared" si="95"/>
        <v>0</v>
      </c>
      <c r="AT405" s="126">
        <f t="shared" si="92"/>
        <v>496.79000000000087</v>
      </c>
      <c r="AU405" s="48"/>
      <c r="AV405" s="46"/>
    </row>
    <row r="406" spans="1:54" ht="20.25" hidden="1" customHeight="1" x14ac:dyDescent="0.2">
      <c r="A406" s="32">
        <v>636</v>
      </c>
      <c r="B406" s="94" t="s">
        <v>1644</v>
      </c>
      <c r="C406" s="116" t="s">
        <v>1645</v>
      </c>
      <c r="D406" s="107">
        <v>1251</v>
      </c>
      <c r="E406" s="253" t="s">
        <v>1646</v>
      </c>
      <c r="F406" s="82"/>
      <c r="G406" s="82"/>
      <c r="H406" s="33" t="s">
        <v>1275</v>
      </c>
      <c r="I406" s="107">
        <v>6242</v>
      </c>
      <c r="J406" s="107">
        <v>1</v>
      </c>
      <c r="K406" s="39">
        <v>5</v>
      </c>
      <c r="L406" s="118" t="s">
        <v>1276</v>
      </c>
      <c r="M406" s="147" t="s">
        <v>108</v>
      </c>
      <c r="N406" s="42" t="s">
        <v>63</v>
      </c>
      <c r="O406" s="148" t="s">
        <v>88</v>
      </c>
      <c r="P406" s="46" t="s">
        <v>331</v>
      </c>
      <c r="Q406" s="46" t="s">
        <v>1641</v>
      </c>
      <c r="R406" s="257"/>
      <c r="S406" s="45">
        <f t="shared" si="93"/>
        <v>17500.240000000002</v>
      </c>
      <c r="T406" s="45">
        <f>18228-727.76</f>
        <v>17500.240000000002</v>
      </c>
      <c r="U406" s="45">
        <v>0</v>
      </c>
      <c r="V406" s="109" t="s">
        <v>1643</v>
      </c>
      <c r="W406" s="63">
        <v>41977</v>
      </c>
      <c r="X406" s="48"/>
      <c r="Y406" s="109" t="s">
        <v>234</v>
      </c>
      <c r="Z406" s="45"/>
      <c r="AA406" s="45"/>
      <c r="AB406" s="45">
        <f>Z406-AA406</f>
        <v>0</v>
      </c>
      <c r="AC406" s="48"/>
      <c r="AD406" s="63"/>
      <c r="AE406" s="51">
        <f t="shared" si="100"/>
        <v>0</v>
      </c>
      <c r="AF406" s="52">
        <f t="shared" si="101"/>
        <v>0</v>
      </c>
      <c r="AG406" s="52">
        <v>17500.240000000002</v>
      </c>
      <c r="AH406" s="52">
        <f>8750.12+8750.12</f>
        <v>17500.240000000002</v>
      </c>
      <c r="AI406" s="52">
        <f t="shared" si="91"/>
        <v>0</v>
      </c>
      <c r="AJ406" s="124">
        <v>0</v>
      </c>
      <c r="AK406" s="45">
        <v>0</v>
      </c>
      <c r="AL406" s="52">
        <f t="shared" si="96"/>
        <v>0</v>
      </c>
      <c r="AM406" s="52">
        <f t="shared" si="98"/>
        <v>17500.240000000002</v>
      </c>
      <c r="AN406" s="51">
        <f t="shared" si="99"/>
        <v>17500.240000000002</v>
      </c>
      <c r="AO406" s="51">
        <f t="shared" si="97"/>
        <v>0</v>
      </c>
      <c r="AP406" s="125" t="s">
        <v>948</v>
      </c>
      <c r="AQ406" s="52">
        <v>7543.21</v>
      </c>
      <c r="AR406" s="51">
        <v>7543.21</v>
      </c>
      <c r="AS406" s="51">
        <f t="shared" si="95"/>
        <v>0</v>
      </c>
      <c r="AT406" s="126">
        <f t="shared" si="92"/>
        <v>0</v>
      </c>
      <c r="AU406" s="48"/>
      <c r="AV406" s="46"/>
    </row>
    <row r="407" spans="1:54" ht="20.25" hidden="1" customHeight="1" x14ac:dyDescent="0.2">
      <c r="A407" s="32">
        <v>636</v>
      </c>
      <c r="B407" s="94" t="s">
        <v>1644</v>
      </c>
      <c r="C407" s="116" t="s">
        <v>1645</v>
      </c>
      <c r="D407" s="107">
        <v>12152</v>
      </c>
      <c r="E407" s="255"/>
      <c r="F407" s="36"/>
      <c r="G407" s="36"/>
      <c r="H407" s="33" t="s">
        <v>60</v>
      </c>
      <c r="I407" s="107">
        <v>6242</v>
      </c>
      <c r="J407" s="107">
        <v>1</v>
      </c>
      <c r="K407" s="39">
        <v>2</v>
      </c>
      <c r="L407" s="40" t="s">
        <v>61</v>
      </c>
      <c r="M407" s="147" t="s">
        <v>108</v>
      </c>
      <c r="N407" s="42" t="s">
        <v>63</v>
      </c>
      <c r="O407" s="148" t="s">
        <v>88</v>
      </c>
      <c r="P407" s="46" t="s">
        <v>331</v>
      </c>
      <c r="Q407" s="46" t="s">
        <v>1641</v>
      </c>
      <c r="R407" s="258"/>
      <c r="S407" s="45">
        <f t="shared" si="93"/>
        <v>12152</v>
      </c>
      <c r="T407" s="45">
        <v>12152</v>
      </c>
      <c r="U407" s="45">
        <v>0</v>
      </c>
      <c r="V407" s="109" t="s">
        <v>1643</v>
      </c>
      <c r="W407" s="63">
        <v>41977</v>
      </c>
      <c r="X407" s="48"/>
      <c r="Y407" s="109" t="s">
        <v>234</v>
      </c>
      <c r="Z407" s="45"/>
      <c r="AA407" s="45"/>
      <c r="AB407" s="45">
        <f>Z407-AA407</f>
        <v>0</v>
      </c>
      <c r="AC407" s="48"/>
      <c r="AD407" s="63"/>
      <c r="AE407" s="51">
        <f t="shared" si="100"/>
        <v>0</v>
      </c>
      <c r="AF407" s="52">
        <f t="shared" si="101"/>
        <v>485.18000000000029</v>
      </c>
      <c r="AG407" s="52">
        <v>11666.82</v>
      </c>
      <c r="AH407" s="52">
        <f>5833.41+5833.41</f>
        <v>11666.82</v>
      </c>
      <c r="AI407" s="52">
        <f t="shared" si="91"/>
        <v>0</v>
      </c>
      <c r="AJ407" s="124">
        <v>0</v>
      </c>
      <c r="AK407" s="45">
        <v>0</v>
      </c>
      <c r="AL407" s="52">
        <f t="shared" si="96"/>
        <v>0</v>
      </c>
      <c r="AM407" s="52">
        <f t="shared" si="98"/>
        <v>11666.82</v>
      </c>
      <c r="AN407" s="51">
        <f t="shared" si="99"/>
        <v>11666.82</v>
      </c>
      <c r="AO407" s="51">
        <f t="shared" si="97"/>
        <v>0</v>
      </c>
      <c r="AP407" s="125" t="s">
        <v>948</v>
      </c>
      <c r="AQ407" s="52">
        <v>5028.8</v>
      </c>
      <c r="AR407" s="51">
        <v>5028.8</v>
      </c>
      <c r="AS407" s="51">
        <f t="shared" si="95"/>
        <v>0</v>
      </c>
      <c r="AT407" s="126">
        <f t="shared" si="92"/>
        <v>485.18000000000029</v>
      </c>
      <c r="AU407" s="48"/>
      <c r="AV407" s="46"/>
    </row>
    <row r="408" spans="1:54" ht="20.25" hidden="1" customHeight="1" x14ac:dyDescent="0.2">
      <c r="A408" s="32">
        <v>636</v>
      </c>
      <c r="B408" s="94" t="s">
        <v>1647</v>
      </c>
      <c r="C408" s="116" t="s">
        <v>1648</v>
      </c>
      <c r="D408" s="107">
        <v>649</v>
      </c>
      <c r="E408" s="253" t="s">
        <v>1649</v>
      </c>
      <c r="F408" s="82"/>
      <c r="G408" s="82"/>
      <c r="H408" s="33" t="s">
        <v>1275</v>
      </c>
      <c r="I408" s="107">
        <v>6242</v>
      </c>
      <c r="J408" s="107">
        <v>1</v>
      </c>
      <c r="K408" s="39">
        <v>5</v>
      </c>
      <c r="L408" s="118" t="s">
        <v>1276</v>
      </c>
      <c r="M408" s="147" t="s">
        <v>108</v>
      </c>
      <c r="N408" s="42" t="s">
        <v>63</v>
      </c>
      <c r="O408" s="148" t="s">
        <v>88</v>
      </c>
      <c r="P408" s="46" t="s">
        <v>331</v>
      </c>
      <c r="Q408" s="46" t="s">
        <v>1650</v>
      </c>
      <c r="R408" s="256" t="s">
        <v>1651</v>
      </c>
      <c r="S408" s="45">
        <f t="shared" si="93"/>
        <v>145617.60999999999</v>
      </c>
      <c r="T408" s="45">
        <f>147389-1771.39</f>
        <v>145617.60999999999</v>
      </c>
      <c r="U408" s="45">
        <v>0</v>
      </c>
      <c r="V408" s="109" t="s">
        <v>1643</v>
      </c>
      <c r="W408" s="63">
        <v>41977</v>
      </c>
      <c r="X408" s="48"/>
      <c r="Y408" s="109" t="s">
        <v>234</v>
      </c>
      <c r="Z408" s="45"/>
      <c r="AA408" s="45"/>
      <c r="AB408" s="45">
        <f>Z408-AA408</f>
        <v>0</v>
      </c>
      <c r="AC408" s="48"/>
      <c r="AD408" s="63"/>
      <c r="AE408" s="51">
        <f t="shared" si="100"/>
        <v>0</v>
      </c>
      <c r="AF408" s="52">
        <f t="shared" si="101"/>
        <v>0</v>
      </c>
      <c r="AG408" s="52">
        <v>145617.60999999999</v>
      </c>
      <c r="AH408" s="52">
        <f>72808.8+72808.81</f>
        <v>145617.60999999999</v>
      </c>
      <c r="AI408" s="52">
        <f t="shared" si="91"/>
        <v>0</v>
      </c>
      <c r="AJ408" s="124">
        <v>0</v>
      </c>
      <c r="AK408" s="45">
        <v>0</v>
      </c>
      <c r="AL408" s="52">
        <f t="shared" si="96"/>
        <v>0</v>
      </c>
      <c r="AM408" s="52">
        <f t="shared" si="98"/>
        <v>145617.60999999999</v>
      </c>
      <c r="AN408" s="51">
        <f t="shared" si="99"/>
        <v>145617.60999999999</v>
      </c>
      <c r="AO408" s="51">
        <f t="shared" si="97"/>
        <v>0</v>
      </c>
      <c r="AP408" s="125"/>
      <c r="AQ408" s="52">
        <v>62766.21</v>
      </c>
      <c r="AR408" s="52">
        <v>62766.21</v>
      </c>
      <c r="AS408" s="51">
        <f t="shared" si="95"/>
        <v>0</v>
      </c>
      <c r="AT408" s="126">
        <f t="shared" si="92"/>
        <v>0</v>
      </c>
      <c r="AU408" s="48"/>
      <c r="AV408" s="46"/>
    </row>
    <row r="409" spans="1:54" ht="20.25" hidden="1" customHeight="1" x14ac:dyDescent="0.2">
      <c r="A409" s="32">
        <v>636</v>
      </c>
      <c r="B409" s="94" t="s">
        <v>1647</v>
      </c>
      <c r="C409" s="116" t="s">
        <v>1648</v>
      </c>
      <c r="D409" s="107">
        <v>650</v>
      </c>
      <c r="E409" s="255"/>
      <c r="F409" s="36"/>
      <c r="G409" s="36"/>
      <c r="H409" s="33" t="s">
        <v>60</v>
      </c>
      <c r="I409" s="107">
        <v>6242</v>
      </c>
      <c r="J409" s="107">
        <v>1</v>
      </c>
      <c r="K409" s="39">
        <v>2</v>
      </c>
      <c r="L409" s="40" t="s">
        <v>61</v>
      </c>
      <c r="M409" s="147" t="s">
        <v>108</v>
      </c>
      <c r="N409" s="42" t="s">
        <v>63</v>
      </c>
      <c r="O409" s="148" t="s">
        <v>88</v>
      </c>
      <c r="P409" s="46" t="s">
        <v>331</v>
      </c>
      <c r="Q409" s="46" t="s">
        <v>1650</v>
      </c>
      <c r="R409" s="257"/>
      <c r="S409" s="45">
        <f t="shared" si="93"/>
        <v>98260</v>
      </c>
      <c r="T409" s="45">
        <v>98260</v>
      </c>
      <c r="U409" s="45">
        <v>0</v>
      </c>
      <c r="V409" s="109" t="s">
        <v>1643</v>
      </c>
      <c r="W409" s="63">
        <v>41977</v>
      </c>
      <c r="X409" s="48"/>
      <c r="Y409" s="109" t="s">
        <v>234</v>
      </c>
      <c r="Z409" s="45"/>
      <c r="AA409" s="45"/>
      <c r="AB409" s="45">
        <f>Z409-AA409</f>
        <v>0</v>
      </c>
      <c r="AC409" s="48"/>
      <c r="AD409" s="63"/>
      <c r="AE409" s="51">
        <f t="shared" si="100"/>
        <v>0</v>
      </c>
      <c r="AF409" s="52">
        <f t="shared" si="101"/>
        <v>1181.6000000000058</v>
      </c>
      <c r="AG409" s="52">
        <v>97078.399999999994</v>
      </c>
      <c r="AH409" s="52">
        <f>48539.2+48539.2</f>
        <v>97078.399999999994</v>
      </c>
      <c r="AI409" s="52">
        <f t="shared" si="91"/>
        <v>0</v>
      </c>
      <c r="AJ409" s="124">
        <v>0</v>
      </c>
      <c r="AK409" s="45">
        <v>0</v>
      </c>
      <c r="AL409" s="52">
        <f t="shared" si="96"/>
        <v>0</v>
      </c>
      <c r="AM409" s="52">
        <f t="shared" si="98"/>
        <v>97078.399999999994</v>
      </c>
      <c r="AN409" s="51">
        <f t="shared" si="99"/>
        <v>97078.399999999994</v>
      </c>
      <c r="AO409" s="51">
        <f t="shared" si="97"/>
        <v>0</v>
      </c>
      <c r="AP409" s="125"/>
      <c r="AQ409" s="52">
        <v>41844.14</v>
      </c>
      <c r="AR409" s="52">
        <v>41844.14</v>
      </c>
      <c r="AS409" s="51">
        <f t="shared" si="95"/>
        <v>0</v>
      </c>
      <c r="AT409" s="126">
        <f t="shared" si="92"/>
        <v>1181.6000000000058</v>
      </c>
      <c r="AU409" s="48"/>
      <c r="AV409" s="46"/>
    </row>
    <row r="410" spans="1:54" ht="20.25" hidden="1" customHeight="1" x14ac:dyDescent="0.2">
      <c r="A410" s="32">
        <v>636</v>
      </c>
      <c r="B410" s="94" t="s">
        <v>1652</v>
      </c>
      <c r="C410" s="116" t="s">
        <v>1653</v>
      </c>
      <c r="D410" s="107">
        <v>1249</v>
      </c>
      <c r="E410" s="253" t="s">
        <v>1654</v>
      </c>
      <c r="F410" s="82"/>
      <c r="G410" s="82"/>
      <c r="H410" s="33" t="s">
        <v>1275</v>
      </c>
      <c r="I410" s="107">
        <v>6242</v>
      </c>
      <c r="J410" s="107">
        <v>1</v>
      </c>
      <c r="K410" s="39">
        <v>5</v>
      </c>
      <c r="L410" s="118" t="s">
        <v>1276</v>
      </c>
      <c r="M410" s="147" t="s">
        <v>108</v>
      </c>
      <c r="N410" s="42" t="s">
        <v>63</v>
      </c>
      <c r="O410" s="148" t="s">
        <v>88</v>
      </c>
      <c r="P410" s="46" t="s">
        <v>331</v>
      </c>
      <c r="Q410" s="46" t="s">
        <v>1650</v>
      </c>
      <c r="R410" s="257"/>
      <c r="S410" s="45">
        <f t="shared" si="93"/>
        <v>104498.13</v>
      </c>
      <c r="T410" s="45">
        <f>105981-1482.87</f>
        <v>104498.13</v>
      </c>
      <c r="U410" s="45">
        <v>0</v>
      </c>
      <c r="V410" s="109" t="s">
        <v>1655</v>
      </c>
      <c r="W410" s="63">
        <v>41977</v>
      </c>
      <c r="X410" s="48"/>
      <c r="Y410" s="109" t="s">
        <v>234</v>
      </c>
      <c r="Z410" s="45"/>
      <c r="AA410" s="45"/>
      <c r="AB410" s="45"/>
      <c r="AC410" s="48"/>
      <c r="AD410" s="63"/>
      <c r="AE410" s="51">
        <f t="shared" si="100"/>
        <v>0</v>
      </c>
      <c r="AF410" s="52">
        <f t="shared" si="101"/>
        <v>0</v>
      </c>
      <c r="AG410" s="52">
        <v>104498.13</v>
      </c>
      <c r="AH410" s="52">
        <f>52249.06+52249.07</f>
        <v>104498.13</v>
      </c>
      <c r="AI410" s="52">
        <f t="shared" ref="AI410:AI469" si="102">SUM(AG410-AH410)</f>
        <v>0</v>
      </c>
      <c r="AJ410" s="124">
        <v>0</v>
      </c>
      <c r="AK410" s="45">
        <v>0</v>
      </c>
      <c r="AL410" s="52">
        <f t="shared" si="96"/>
        <v>0</v>
      </c>
      <c r="AM410" s="52">
        <f t="shared" si="98"/>
        <v>104498.13</v>
      </c>
      <c r="AN410" s="51">
        <f t="shared" si="99"/>
        <v>104498.13</v>
      </c>
      <c r="AO410" s="51">
        <f t="shared" si="97"/>
        <v>0</v>
      </c>
      <c r="AP410" s="125"/>
      <c r="AQ410" s="52">
        <v>45042.29</v>
      </c>
      <c r="AR410" s="52">
        <v>45042.29</v>
      </c>
      <c r="AS410" s="51">
        <f t="shared" si="95"/>
        <v>0</v>
      </c>
      <c r="AT410" s="126">
        <f t="shared" ref="AT410:AT469" si="103">SUM(S410-AN410)</f>
        <v>0</v>
      </c>
      <c r="AU410" s="48"/>
      <c r="AV410" s="46"/>
    </row>
    <row r="411" spans="1:54" ht="20.25" hidden="1" customHeight="1" x14ac:dyDescent="0.2">
      <c r="A411" s="32">
        <v>636</v>
      </c>
      <c r="B411" s="94" t="s">
        <v>1652</v>
      </c>
      <c r="C411" s="116" t="s">
        <v>1653</v>
      </c>
      <c r="D411" s="107">
        <v>1250</v>
      </c>
      <c r="E411" s="255"/>
      <c r="F411" s="36"/>
      <c r="G411" s="36"/>
      <c r="H411" s="33" t="s">
        <v>60</v>
      </c>
      <c r="I411" s="107">
        <v>6242</v>
      </c>
      <c r="J411" s="107">
        <v>1</v>
      </c>
      <c r="K411" s="39">
        <v>2</v>
      </c>
      <c r="L411" s="40" t="s">
        <v>61</v>
      </c>
      <c r="M411" s="147" t="s">
        <v>108</v>
      </c>
      <c r="N411" s="42" t="s">
        <v>63</v>
      </c>
      <c r="O411" s="148" t="s">
        <v>88</v>
      </c>
      <c r="P411" s="46" t="s">
        <v>331</v>
      </c>
      <c r="Q411" s="46" t="s">
        <v>1650</v>
      </c>
      <c r="R411" s="258"/>
      <c r="S411" s="45">
        <f t="shared" si="93"/>
        <v>70654</v>
      </c>
      <c r="T411" s="45">
        <v>70654</v>
      </c>
      <c r="U411" s="45">
        <v>0</v>
      </c>
      <c r="V411" s="109" t="s">
        <v>1655</v>
      </c>
      <c r="W411" s="63">
        <v>41977</v>
      </c>
      <c r="X411" s="48"/>
      <c r="Y411" s="109" t="s">
        <v>234</v>
      </c>
      <c r="Z411" s="45"/>
      <c r="AA411" s="45"/>
      <c r="AB411" s="45"/>
      <c r="AC411" s="48"/>
      <c r="AD411" s="63"/>
      <c r="AE411" s="51">
        <f t="shared" si="100"/>
        <v>0</v>
      </c>
      <c r="AF411" s="52">
        <f t="shared" si="101"/>
        <v>988.58000000000175</v>
      </c>
      <c r="AG411" s="52">
        <v>69665.42</v>
      </c>
      <c r="AH411" s="52">
        <f>34832.71+34832.71</f>
        <v>69665.42</v>
      </c>
      <c r="AI411" s="52">
        <f t="shared" si="102"/>
        <v>0</v>
      </c>
      <c r="AJ411" s="124">
        <v>0</v>
      </c>
      <c r="AK411" s="45">
        <v>0</v>
      </c>
      <c r="AL411" s="52">
        <f t="shared" si="96"/>
        <v>0</v>
      </c>
      <c r="AM411" s="52">
        <f t="shared" si="98"/>
        <v>69665.42</v>
      </c>
      <c r="AN411" s="51">
        <f t="shared" si="99"/>
        <v>69665.42</v>
      </c>
      <c r="AO411" s="51">
        <f t="shared" si="97"/>
        <v>0</v>
      </c>
      <c r="AP411" s="125"/>
      <c r="AQ411" s="52">
        <v>30028.2</v>
      </c>
      <c r="AR411" s="52">
        <v>30028.2</v>
      </c>
      <c r="AS411" s="51">
        <f t="shared" si="95"/>
        <v>0</v>
      </c>
      <c r="AT411" s="126">
        <f t="shared" si="103"/>
        <v>988.58000000000175</v>
      </c>
      <c r="AU411" s="48"/>
      <c r="AV411" s="46"/>
    </row>
    <row r="412" spans="1:54" ht="20.25" hidden="1" customHeight="1" x14ac:dyDescent="0.2">
      <c r="A412" s="32">
        <v>636</v>
      </c>
      <c r="B412" s="94" t="s">
        <v>1656</v>
      </c>
      <c r="C412" s="116" t="s">
        <v>1657</v>
      </c>
      <c r="D412" s="107">
        <v>1245</v>
      </c>
      <c r="E412" s="253" t="s">
        <v>1658</v>
      </c>
      <c r="F412" s="82"/>
      <c r="G412" s="82"/>
      <c r="H412" s="33" t="s">
        <v>1275</v>
      </c>
      <c r="I412" s="107">
        <v>6132</v>
      </c>
      <c r="J412" s="107">
        <v>1</v>
      </c>
      <c r="K412" s="39">
        <v>5</v>
      </c>
      <c r="L412" s="118" t="s">
        <v>1276</v>
      </c>
      <c r="M412" s="147" t="s">
        <v>250</v>
      </c>
      <c r="N412" s="42" t="s">
        <v>76</v>
      </c>
      <c r="O412" s="148" t="s">
        <v>252</v>
      </c>
      <c r="P412" s="46" t="s">
        <v>1576</v>
      </c>
      <c r="Q412" s="46" t="s">
        <v>1659</v>
      </c>
      <c r="R412" s="256" t="s">
        <v>1660</v>
      </c>
      <c r="S412" s="45">
        <f t="shared" si="93"/>
        <v>370685.7</v>
      </c>
      <c r="T412" s="45">
        <f>372000-1314.3</f>
        <v>370685.7</v>
      </c>
      <c r="U412" s="45">
        <v>0</v>
      </c>
      <c r="V412" s="109" t="s">
        <v>1643</v>
      </c>
      <c r="W412" s="63">
        <v>41977</v>
      </c>
      <c r="X412" s="48"/>
      <c r="Y412" s="109" t="s">
        <v>234</v>
      </c>
      <c r="Z412" s="45"/>
      <c r="AA412" s="45"/>
      <c r="AB412" s="45">
        <f t="shared" ref="AB412:AB465" si="104">Z412-AA412</f>
        <v>0</v>
      </c>
      <c r="AC412" s="48"/>
      <c r="AD412" s="63"/>
      <c r="AE412" s="51">
        <f t="shared" si="100"/>
        <v>0</v>
      </c>
      <c r="AF412" s="52">
        <f t="shared" si="101"/>
        <v>0</v>
      </c>
      <c r="AG412" s="52">
        <v>370685.7</v>
      </c>
      <c r="AH412" s="52">
        <f>185342.85+185342.85</f>
        <v>370685.7</v>
      </c>
      <c r="AI412" s="52">
        <f t="shared" si="102"/>
        <v>0</v>
      </c>
      <c r="AJ412" s="124">
        <v>0</v>
      </c>
      <c r="AK412" s="45">
        <v>0</v>
      </c>
      <c r="AL412" s="52">
        <f t="shared" si="96"/>
        <v>0</v>
      </c>
      <c r="AM412" s="52">
        <f t="shared" si="98"/>
        <v>370685.7</v>
      </c>
      <c r="AN412" s="51">
        <f t="shared" si="99"/>
        <v>370685.7</v>
      </c>
      <c r="AO412" s="51">
        <f t="shared" si="97"/>
        <v>0</v>
      </c>
      <c r="AP412" s="125" t="s">
        <v>83</v>
      </c>
      <c r="AQ412" s="52">
        <v>159778.32</v>
      </c>
      <c r="AR412" s="52">
        <v>159778.32</v>
      </c>
      <c r="AS412" s="51">
        <f t="shared" si="95"/>
        <v>0</v>
      </c>
      <c r="AT412" s="126">
        <f t="shared" si="103"/>
        <v>0</v>
      </c>
      <c r="AU412" s="48"/>
      <c r="AV412" s="46"/>
    </row>
    <row r="413" spans="1:54" ht="20.25" hidden="1" customHeight="1" x14ac:dyDescent="0.2">
      <c r="A413" s="32">
        <v>636</v>
      </c>
      <c r="B413" s="94" t="s">
        <v>1656</v>
      </c>
      <c r="C413" s="116" t="s">
        <v>1657</v>
      </c>
      <c r="D413" s="107">
        <v>1246</v>
      </c>
      <c r="E413" s="255"/>
      <c r="F413" s="36"/>
      <c r="G413" s="36"/>
      <c r="H413" s="33" t="s">
        <v>60</v>
      </c>
      <c r="I413" s="107">
        <v>6132</v>
      </c>
      <c r="J413" s="107">
        <v>1</v>
      </c>
      <c r="K413" s="39">
        <v>2</v>
      </c>
      <c r="L413" s="40" t="s">
        <v>61</v>
      </c>
      <c r="M413" s="147" t="s">
        <v>250</v>
      </c>
      <c r="N413" s="42" t="s">
        <v>76</v>
      </c>
      <c r="O413" s="148" t="s">
        <v>252</v>
      </c>
      <c r="P413" s="46" t="s">
        <v>1576</v>
      </c>
      <c r="Q413" s="46" t="s">
        <v>1659</v>
      </c>
      <c r="R413" s="257"/>
      <c r="S413" s="45">
        <f t="shared" si="93"/>
        <v>248000</v>
      </c>
      <c r="T413" s="45">
        <v>248000</v>
      </c>
      <c r="U413" s="45">
        <v>0</v>
      </c>
      <c r="V413" s="109" t="s">
        <v>1643</v>
      </c>
      <c r="W413" s="63">
        <v>41977</v>
      </c>
      <c r="X413" s="48"/>
      <c r="Y413" s="109" t="s">
        <v>234</v>
      </c>
      <c r="Z413" s="45"/>
      <c r="AA413" s="45"/>
      <c r="AB413" s="45">
        <f t="shared" si="104"/>
        <v>0</v>
      </c>
      <c r="AC413" s="48"/>
      <c r="AD413" s="63"/>
      <c r="AE413" s="51">
        <f t="shared" si="100"/>
        <v>0</v>
      </c>
      <c r="AF413" s="52">
        <f t="shared" si="101"/>
        <v>876.20000000001164</v>
      </c>
      <c r="AG413" s="52">
        <v>247123.8</v>
      </c>
      <c r="AH413" s="52">
        <f>123561.9+123561.9</f>
        <v>247123.8</v>
      </c>
      <c r="AI413" s="52">
        <f t="shared" si="102"/>
        <v>0</v>
      </c>
      <c r="AJ413" s="124">
        <v>0</v>
      </c>
      <c r="AK413" s="45">
        <v>0</v>
      </c>
      <c r="AL413" s="52">
        <f t="shared" si="96"/>
        <v>0</v>
      </c>
      <c r="AM413" s="52">
        <f t="shared" si="98"/>
        <v>247123.8</v>
      </c>
      <c r="AN413" s="51">
        <f t="shared" si="99"/>
        <v>247123.8</v>
      </c>
      <c r="AO413" s="51">
        <f t="shared" si="97"/>
        <v>0</v>
      </c>
      <c r="AP413" s="125" t="s">
        <v>83</v>
      </c>
      <c r="AQ413" s="52">
        <v>106518.88</v>
      </c>
      <c r="AR413" s="52">
        <v>106518.88</v>
      </c>
      <c r="AS413" s="51">
        <f t="shared" si="95"/>
        <v>0</v>
      </c>
      <c r="AT413" s="126">
        <f t="shared" si="103"/>
        <v>876.20000000001164</v>
      </c>
      <c r="AU413" s="48"/>
      <c r="AV413" s="46"/>
    </row>
    <row r="414" spans="1:54" ht="20.25" hidden="1" customHeight="1" x14ac:dyDescent="0.2">
      <c r="A414" s="32">
        <v>636</v>
      </c>
      <c r="B414" s="94" t="s">
        <v>1661</v>
      </c>
      <c r="C414" s="116" t="s">
        <v>1662</v>
      </c>
      <c r="D414" s="107">
        <v>1243</v>
      </c>
      <c r="E414" s="253" t="s">
        <v>1663</v>
      </c>
      <c r="F414" s="82"/>
      <c r="G414" s="159"/>
      <c r="H414" s="33" t="s">
        <v>1275</v>
      </c>
      <c r="I414" s="107">
        <v>6132</v>
      </c>
      <c r="J414" s="107">
        <v>1</v>
      </c>
      <c r="K414" s="39">
        <v>5</v>
      </c>
      <c r="L414" s="118" t="s">
        <v>1276</v>
      </c>
      <c r="M414" s="147" t="s">
        <v>250</v>
      </c>
      <c r="N414" s="42" t="s">
        <v>76</v>
      </c>
      <c r="O414" s="148" t="s">
        <v>252</v>
      </c>
      <c r="P414" s="46" t="s">
        <v>229</v>
      </c>
      <c r="Q414" s="46" t="s">
        <v>1659</v>
      </c>
      <c r="R414" s="257"/>
      <c r="S414" s="45">
        <f t="shared" si="93"/>
        <v>761017.26</v>
      </c>
      <c r="T414" s="45">
        <f>763981-2963.74</f>
        <v>761017.26</v>
      </c>
      <c r="U414" s="45">
        <v>0</v>
      </c>
      <c r="V414" s="109" t="s">
        <v>1643</v>
      </c>
      <c r="W414" s="63">
        <v>41977</v>
      </c>
      <c r="X414" s="48"/>
      <c r="Y414" s="109" t="s">
        <v>234</v>
      </c>
      <c r="Z414" s="45"/>
      <c r="AA414" s="45"/>
      <c r="AB414" s="45">
        <f t="shared" si="104"/>
        <v>0</v>
      </c>
      <c r="AC414" s="48"/>
      <c r="AD414" s="63"/>
      <c r="AE414" s="51">
        <f t="shared" si="100"/>
        <v>0</v>
      </c>
      <c r="AF414" s="52">
        <f t="shared" si="101"/>
        <v>0</v>
      </c>
      <c r="AG414" s="52">
        <v>761017.26</v>
      </c>
      <c r="AH414" s="52">
        <f>380508.63+380508.63</f>
        <v>761017.26</v>
      </c>
      <c r="AI414" s="52">
        <f t="shared" si="102"/>
        <v>0</v>
      </c>
      <c r="AJ414" s="124">
        <v>0</v>
      </c>
      <c r="AK414" s="45">
        <v>0</v>
      </c>
      <c r="AL414" s="52">
        <f t="shared" si="96"/>
        <v>0</v>
      </c>
      <c r="AM414" s="52">
        <f t="shared" si="98"/>
        <v>761017.26</v>
      </c>
      <c r="AN414" s="51">
        <f t="shared" si="99"/>
        <v>761017.26</v>
      </c>
      <c r="AO414" s="51">
        <f t="shared" si="97"/>
        <v>0</v>
      </c>
      <c r="AP414" s="125" t="s">
        <v>83</v>
      </c>
      <c r="AQ414" s="52">
        <v>328024.68</v>
      </c>
      <c r="AR414" s="52">
        <v>328024.68</v>
      </c>
      <c r="AS414" s="51">
        <f t="shared" si="95"/>
        <v>0</v>
      </c>
      <c r="AT414" s="126">
        <f t="shared" si="103"/>
        <v>0</v>
      </c>
      <c r="AU414" s="48"/>
      <c r="AV414" s="46"/>
    </row>
    <row r="415" spans="1:54" ht="20.25" hidden="1" customHeight="1" x14ac:dyDescent="0.2">
      <c r="A415" s="32">
        <v>636</v>
      </c>
      <c r="B415" s="94" t="s">
        <v>1661</v>
      </c>
      <c r="C415" s="116" t="s">
        <v>1662</v>
      </c>
      <c r="D415" s="107">
        <v>1244</v>
      </c>
      <c r="E415" s="255"/>
      <c r="F415" s="36"/>
      <c r="G415" s="160"/>
      <c r="H415" s="33" t="s">
        <v>60</v>
      </c>
      <c r="I415" s="107">
        <v>6132</v>
      </c>
      <c r="J415" s="107">
        <v>1</v>
      </c>
      <c r="K415" s="39">
        <v>2</v>
      </c>
      <c r="L415" s="40" t="s">
        <v>61</v>
      </c>
      <c r="M415" s="147" t="s">
        <v>250</v>
      </c>
      <c r="N415" s="42" t="s">
        <v>76</v>
      </c>
      <c r="O415" s="148" t="s">
        <v>252</v>
      </c>
      <c r="P415" s="46" t="s">
        <v>229</v>
      </c>
      <c r="Q415" s="46" t="s">
        <v>1659</v>
      </c>
      <c r="R415" s="258"/>
      <c r="S415" s="45">
        <f t="shared" si="93"/>
        <v>509321</v>
      </c>
      <c r="T415" s="45">
        <v>509321</v>
      </c>
      <c r="U415" s="45">
        <v>0</v>
      </c>
      <c r="V415" s="109" t="s">
        <v>1643</v>
      </c>
      <c r="W415" s="63">
        <v>41977</v>
      </c>
      <c r="X415" s="48"/>
      <c r="Y415" s="109" t="s">
        <v>234</v>
      </c>
      <c r="Z415" s="45"/>
      <c r="AA415" s="45"/>
      <c r="AB415" s="45">
        <f t="shared" si="104"/>
        <v>0</v>
      </c>
      <c r="AC415" s="48"/>
      <c r="AD415" s="63"/>
      <c r="AE415" s="51">
        <f t="shared" si="100"/>
        <v>0</v>
      </c>
      <c r="AF415" s="52">
        <f t="shared" si="101"/>
        <v>1976.1599999999744</v>
      </c>
      <c r="AG415" s="52">
        <v>507344.84</v>
      </c>
      <c r="AH415" s="52">
        <f>253672.42+253672.42</f>
        <v>507344.84</v>
      </c>
      <c r="AI415" s="52">
        <f t="shared" si="102"/>
        <v>0</v>
      </c>
      <c r="AJ415" s="124">
        <v>0</v>
      </c>
      <c r="AK415" s="45">
        <v>0</v>
      </c>
      <c r="AL415" s="52">
        <f t="shared" si="96"/>
        <v>0</v>
      </c>
      <c r="AM415" s="52">
        <f t="shared" si="98"/>
        <v>507344.84</v>
      </c>
      <c r="AN415" s="51">
        <f t="shared" si="99"/>
        <v>507344.84</v>
      </c>
      <c r="AO415" s="51">
        <f t="shared" si="97"/>
        <v>0</v>
      </c>
      <c r="AP415" s="125" t="s">
        <v>83</v>
      </c>
      <c r="AQ415" s="52">
        <v>218683.12</v>
      </c>
      <c r="AR415" s="52">
        <v>218683.12</v>
      </c>
      <c r="AS415" s="51">
        <f t="shared" si="95"/>
        <v>0</v>
      </c>
      <c r="AT415" s="126">
        <f t="shared" si="103"/>
        <v>1976.1599999999744</v>
      </c>
      <c r="AU415" s="48"/>
      <c r="AV415" s="46"/>
    </row>
    <row r="416" spans="1:54" ht="20.25" hidden="1" customHeight="1" x14ac:dyDescent="0.2">
      <c r="A416" s="32">
        <v>636</v>
      </c>
      <c r="B416" s="94" t="s">
        <v>1664</v>
      </c>
      <c r="C416" s="116" t="s">
        <v>1665</v>
      </c>
      <c r="D416" s="107">
        <v>645</v>
      </c>
      <c r="E416" s="253" t="s">
        <v>1666</v>
      </c>
      <c r="F416" s="82"/>
      <c r="G416" s="82"/>
      <c r="H416" s="33" t="s">
        <v>1275</v>
      </c>
      <c r="I416" s="107">
        <v>6242</v>
      </c>
      <c r="J416" s="107">
        <v>1</v>
      </c>
      <c r="K416" s="39">
        <v>5</v>
      </c>
      <c r="L416" s="118" t="s">
        <v>1276</v>
      </c>
      <c r="M416" s="147" t="s">
        <v>108</v>
      </c>
      <c r="N416" s="117" t="s">
        <v>704</v>
      </c>
      <c r="O416" s="148" t="s">
        <v>88</v>
      </c>
      <c r="P416" s="46" t="s">
        <v>331</v>
      </c>
      <c r="Q416" s="46" t="s">
        <v>671</v>
      </c>
      <c r="R416" s="256" t="s">
        <v>1667</v>
      </c>
      <c r="S416" s="45">
        <f t="shared" si="93"/>
        <v>89037.25</v>
      </c>
      <c r="T416" s="45">
        <f>90000-962.75</f>
        <v>89037.25</v>
      </c>
      <c r="U416" s="45">
        <v>0</v>
      </c>
      <c r="V416" s="109" t="s">
        <v>1668</v>
      </c>
      <c r="W416" s="63">
        <v>41989</v>
      </c>
      <c r="X416" s="48"/>
      <c r="Y416" s="109" t="s">
        <v>234</v>
      </c>
      <c r="Z416" s="45"/>
      <c r="AA416" s="45"/>
      <c r="AB416" s="45">
        <f t="shared" si="104"/>
        <v>0</v>
      </c>
      <c r="AC416" s="48"/>
      <c r="AD416" s="63"/>
      <c r="AE416" s="51">
        <f t="shared" si="100"/>
        <v>0</v>
      </c>
      <c r="AF416" s="52">
        <f t="shared" si="101"/>
        <v>0</v>
      </c>
      <c r="AG416" s="52">
        <v>89037.25</v>
      </c>
      <c r="AH416" s="52">
        <f>44518.62+44518.63</f>
        <v>89037.25</v>
      </c>
      <c r="AI416" s="52">
        <f t="shared" si="102"/>
        <v>0</v>
      </c>
      <c r="AJ416" s="124">
        <v>0</v>
      </c>
      <c r="AK416" s="45">
        <v>0</v>
      </c>
      <c r="AL416" s="52">
        <f t="shared" si="96"/>
        <v>0</v>
      </c>
      <c r="AM416" s="52">
        <f t="shared" si="98"/>
        <v>89037.25</v>
      </c>
      <c r="AN416" s="51">
        <f t="shared" si="99"/>
        <v>89037.25</v>
      </c>
      <c r="AO416" s="51">
        <f t="shared" si="97"/>
        <v>0</v>
      </c>
      <c r="AP416" s="125"/>
      <c r="AQ416" s="52">
        <v>38378.120000000003</v>
      </c>
      <c r="AR416" s="52">
        <v>38378.120000000003</v>
      </c>
      <c r="AS416" s="51">
        <f t="shared" si="95"/>
        <v>0</v>
      </c>
      <c r="AT416" s="126">
        <f t="shared" si="103"/>
        <v>0</v>
      </c>
      <c r="AU416" s="48"/>
      <c r="AV416" s="46"/>
    </row>
    <row r="417" spans="1:48" ht="20.25" hidden="1" customHeight="1" x14ac:dyDescent="0.2">
      <c r="A417" s="32">
        <v>636</v>
      </c>
      <c r="B417" s="74"/>
      <c r="C417" s="116" t="s">
        <v>1665</v>
      </c>
      <c r="D417" s="107">
        <v>646</v>
      </c>
      <c r="E417" s="255"/>
      <c r="F417" s="36"/>
      <c r="G417" s="36"/>
      <c r="H417" s="33" t="s">
        <v>60</v>
      </c>
      <c r="I417" s="107">
        <v>6242</v>
      </c>
      <c r="J417" s="107"/>
      <c r="K417" s="39">
        <v>2</v>
      </c>
      <c r="L417" s="40" t="s">
        <v>61</v>
      </c>
      <c r="M417" s="147" t="s">
        <v>108</v>
      </c>
      <c r="N417" s="117" t="s">
        <v>704</v>
      </c>
      <c r="O417" s="148" t="s">
        <v>88</v>
      </c>
      <c r="P417" s="46" t="s">
        <v>331</v>
      </c>
      <c r="Q417" s="46" t="s">
        <v>671</v>
      </c>
      <c r="R417" s="257"/>
      <c r="S417" s="45">
        <f t="shared" si="93"/>
        <v>60000</v>
      </c>
      <c r="T417" s="45">
        <v>60000</v>
      </c>
      <c r="U417" s="45">
        <v>0</v>
      </c>
      <c r="V417" s="109" t="s">
        <v>1668</v>
      </c>
      <c r="W417" s="63">
        <v>41989</v>
      </c>
      <c r="X417" s="48"/>
      <c r="Y417" s="109" t="s">
        <v>234</v>
      </c>
      <c r="Z417" s="45"/>
      <c r="AA417" s="45"/>
      <c r="AB417" s="45">
        <f t="shared" si="104"/>
        <v>0</v>
      </c>
      <c r="AC417" s="48"/>
      <c r="AD417" s="63"/>
      <c r="AE417" s="51">
        <f t="shared" si="100"/>
        <v>0</v>
      </c>
      <c r="AF417" s="52">
        <f t="shared" si="101"/>
        <v>641.83999999999651</v>
      </c>
      <c r="AG417" s="52">
        <v>59358.16</v>
      </c>
      <c r="AH417" s="52">
        <f>29679.08+29679.08</f>
        <v>59358.16</v>
      </c>
      <c r="AI417" s="52">
        <f t="shared" si="102"/>
        <v>0</v>
      </c>
      <c r="AJ417" s="124">
        <v>0</v>
      </c>
      <c r="AK417" s="45">
        <v>0</v>
      </c>
      <c r="AL417" s="52">
        <f t="shared" si="96"/>
        <v>0</v>
      </c>
      <c r="AM417" s="52">
        <f t="shared" si="98"/>
        <v>59358.16</v>
      </c>
      <c r="AN417" s="51">
        <f t="shared" si="99"/>
        <v>59358.16</v>
      </c>
      <c r="AO417" s="51">
        <f t="shared" si="97"/>
        <v>0</v>
      </c>
      <c r="AP417" s="125"/>
      <c r="AQ417" s="52">
        <v>25585.42</v>
      </c>
      <c r="AR417" s="52">
        <v>25585.42</v>
      </c>
      <c r="AS417" s="51">
        <f t="shared" si="95"/>
        <v>0</v>
      </c>
      <c r="AT417" s="126">
        <f t="shared" si="103"/>
        <v>641.83999999999651</v>
      </c>
      <c r="AU417" s="48"/>
      <c r="AV417" s="46"/>
    </row>
    <row r="418" spans="1:48" ht="20.25" hidden="1" customHeight="1" x14ac:dyDescent="0.2">
      <c r="A418" s="32">
        <v>636</v>
      </c>
      <c r="B418" s="94" t="s">
        <v>1669</v>
      </c>
      <c r="C418" s="116" t="s">
        <v>1670</v>
      </c>
      <c r="D418" s="107">
        <v>651</v>
      </c>
      <c r="E418" s="253" t="s">
        <v>1671</v>
      </c>
      <c r="F418" s="82"/>
      <c r="G418" s="82"/>
      <c r="H418" s="33" t="s">
        <v>1275</v>
      </c>
      <c r="I418" s="107">
        <v>6242</v>
      </c>
      <c r="J418" s="107">
        <v>1</v>
      </c>
      <c r="K418" s="39">
        <v>5</v>
      </c>
      <c r="L418" s="118" t="s">
        <v>1276</v>
      </c>
      <c r="M418" s="147" t="s">
        <v>108</v>
      </c>
      <c r="N418" s="42" t="s">
        <v>63</v>
      </c>
      <c r="O418" s="148" t="s">
        <v>88</v>
      </c>
      <c r="P418" s="46" t="s">
        <v>331</v>
      </c>
      <c r="Q418" s="46" t="s">
        <v>1672</v>
      </c>
      <c r="R418" s="257"/>
      <c r="S418" s="45">
        <f t="shared" si="93"/>
        <v>1013241.37</v>
      </c>
      <c r="T418" s="45">
        <f>1015103-1861.63</f>
        <v>1013241.37</v>
      </c>
      <c r="U418" s="45">
        <v>0</v>
      </c>
      <c r="V418" s="109" t="s">
        <v>1643</v>
      </c>
      <c r="W418" s="63">
        <v>41977</v>
      </c>
      <c r="X418" s="48"/>
      <c r="Y418" s="109" t="s">
        <v>234</v>
      </c>
      <c r="Z418" s="45"/>
      <c r="AA418" s="45"/>
      <c r="AB418" s="45">
        <f t="shared" si="104"/>
        <v>0</v>
      </c>
      <c r="AC418" s="48"/>
      <c r="AD418" s="63"/>
      <c r="AE418" s="51">
        <f t="shared" si="100"/>
        <v>0</v>
      </c>
      <c r="AF418" s="52">
        <f t="shared" si="101"/>
        <v>0</v>
      </c>
      <c r="AG418" s="52">
        <v>1013241.37</v>
      </c>
      <c r="AH418" s="52">
        <f>506620.69+506620.68</f>
        <v>1013241.37</v>
      </c>
      <c r="AI418" s="52">
        <f t="shared" si="102"/>
        <v>0</v>
      </c>
      <c r="AJ418" s="124">
        <v>0</v>
      </c>
      <c r="AK418" s="45">
        <v>0</v>
      </c>
      <c r="AL418" s="52">
        <f t="shared" si="96"/>
        <v>0</v>
      </c>
      <c r="AM418" s="52">
        <f t="shared" si="98"/>
        <v>1013241.37</v>
      </c>
      <c r="AN418" s="51">
        <f t="shared" si="99"/>
        <v>1013241.37</v>
      </c>
      <c r="AO418" s="51">
        <f t="shared" si="97"/>
        <v>0</v>
      </c>
      <c r="AP418" s="125"/>
      <c r="AQ418" s="52">
        <v>436741.97</v>
      </c>
      <c r="AR418" s="52">
        <v>436741.97</v>
      </c>
      <c r="AS418" s="51">
        <f t="shared" si="95"/>
        <v>0</v>
      </c>
      <c r="AT418" s="126">
        <f t="shared" si="103"/>
        <v>0</v>
      </c>
      <c r="AU418" s="48"/>
      <c r="AV418" s="46"/>
    </row>
    <row r="419" spans="1:48" ht="20.25" hidden="1" customHeight="1" x14ac:dyDescent="0.2">
      <c r="A419" s="32">
        <v>636</v>
      </c>
      <c r="B419" s="94" t="s">
        <v>1669</v>
      </c>
      <c r="C419" s="116" t="s">
        <v>1670</v>
      </c>
      <c r="D419" s="107">
        <v>652</v>
      </c>
      <c r="E419" s="255"/>
      <c r="F419" s="36"/>
      <c r="G419" s="36"/>
      <c r="H419" s="33" t="s">
        <v>60</v>
      </c>
      <c r="I419" s="107">
        <v>6242</v>
      </c>
      <c r="J419" s="107">
        <v>1</v>
      </c>
      <c r="K419" s="39">
        <v>2</v>
      </c>
      <c r="L419" s="40" t="s">
        <v>61</v>
      </c>
      <c r="M419" s="147" t="s">
        <v>108</v>
      </c>
      <c r="N419" s="42" t="s">
        <v>63</v>
      </c>
      <c r="O419" s="148" t="s">
        <v>88</v>
      </c>
      <c r="P419" s="46" t="s">
        <v>331</v>
      </c>
      <c r="Q419" s="46" t="s">
        <v>1672</v>
      </c>
      <c r="R419" s="257"/>
      <c r="S419" s="45">
        <f t="shared" si="93"/>
        <v>676738</v>
      </c>
      <c r="T419" s="45">
        <v>676738</v>
      </c>
      <c r="U419" s="45">
        <v>0</v>
      </c>
      <c r="V419" s="109" t="s">
        <v>1643</v>
      </c>
      <c r="W419" s="63">
        <v>41977</v>
      </c>
      <c r="X419" s="48"/>
      <c r="Y419" s="109" t="s">
        <v>234</v>
      </c>
      <c r="Z419" s="45"/>
      <c r="AA419" s="45"/>
      <c r="AB419" s="45">
        <f t="shared" si="104"/>
        <v>0</v>
      </c>
      <c r="AC419" s="48"/>
      <c r="AD419" s="63"/>
      <c r="AE419" s="51">
        <f t="shared" si="100"/>
        <v>0</v>
      </c>
      <c r="AF419" s="52">
        <f t="shared" si="101"/>
        <v>1243.75</v>
      </c>
      <c r="AG419" s="52">
        <v>675494.25</v>
      </c>
      <c r="AH419" s="52">
        <f>337747.12+337747.13</f>
        <v>675494.25</v>
      </c>
      <c r="AI419" s="52">
        <f t="shared" si="102"/>
        <v>0</v>
      </c>
      <c r="AJ419" s="124">
        <v>0</v>
      </c>
      <c r="AK419" s="45">
        <v>0</v>
      </c>
      <c r="AL419" s="52">
        <f t="shared" si="96"/>
        <v>0</v>
      </c>
      <c r="AM419" s="52">
        <f t="shared" si="98"/>
        <v>675494.25</v>
      </c>
      <c r="AN419" s="51">
        <f t="shared" si="99"/>
        <v>675494.25</v>
      </c>
      <c r="AO419" s="51">
        <f t="shared" si="97"/>
        <v>0</v>
      </c>
      <c r="AP419" s="125"/>
      <c r="AQ419" s="52">
        <v>291161.31</v>
      </c>
      <c r="AR419" s="52">
        <v>291161.31</v>
      </c>
      <c r="AS419" s="51">
        <f t="shared" si="95"/>
        <v>0</v>
      </c>
      <c r="AT419" s="126">
        <f t="shared" si="103"/>
        <v>1243.75</v>
      </c>
      <c r="AU419" s="48"/>
      <c r="AV419" s="46"/>
    </row>
    <row r="420" spans="1:48" ht="20.25" hidden="1" customHeight="1" x14ac:dyDescent="0.2">
      <c r="A420" s="32">
        <v>636</v>
      </c>
      <c r="B420" s="94" t="s">
        <v>1673</v>
      </c>
      <c r="C420" s="116" t="s">
        <v>1674</v>
      </c>
      <c r="D420" s="107">
        <v>1247</v>
      </c>
      <c r="E420" s="253" t="s">
        <v>1675</v>
      </c>
      <c r="F420" s="82"/>
      <c r="G420" s="82"/>
      <c r="H420" s="33" t="s">
        <v>1275</v>
      </c>
      <c r="I420" s="107">
        <v>6242</v>
      </c>
      <c r="J420" s="107">
        <v>1</v>
      </c>
      <c r="K420" s="39">
        <v>5</v>
      </c>
      <c r="L420" s="118" t="s">
        <v>1276</v>
      </c>
      <c r="M420" s="147" t="s">
        <v>108</v>
      </c>
      <c r="N420" s="42" t="s">
        <v>63</v>
      </c>
      <c r="O420" s="148" t="s">
        <v>88</v>
      </c>
      <c r="P420" s="46" t="s">
        <v>331</v>
      </c>
      <c r="Q420" s="46" t="s">
        <v>671</v>
      </c>
      <c r="R420" s="257"/>
      <c r="S420" s="45">
        <f t="shared" si="93"/>
        <v>43752.06</v>
      </c>
      <c r="T420" s="45">
        <f>44833-1080.94</f>
        <v>43752.06</v>
      </c>
      <c r="U420" s="45">
        <v>0</v>
      </c>
      <c r="V420" s="109" t="s">
        <v>1643</v>
      </c>
      <c r="W420" s="63">
        <v>41977</v>
      </c>
      <c r="X420" s="48"/>
      <c r="Y420" s="109" t="s">
        <v>234</v>
      </c>
      <c r="Z420" s="45"/>
      <c r="AA420" s="45"/>
      <c r="AB420" s="45">
        <f t="shared" si="104"/>
        <v>0</v>
      </c>
      <c r="AC420" s="48"/>
      <c r="AD420" s="63"/>
      <c r="AE420" s="51">
        <f t="shared" si="100"/>
        <v>0</v>
      </c>
      <c r="AF420" s="52">
        <f t="shared" si="101"/>
        <v>0</v>
      </c>
      <c r="AG420" s="52">
        <v>43752.06</v>
      </c>
      <c r="AH420" s="52">
        <f>21876.03+21876.03</f>
        <v>43752.06</v>
      </c>
      <c r="AI420" s="52">
        <f t="shared" si="102"/>
        <v>0</v>
      </c>
      <c r="AJ420" s="124">
        <v>0</v>
      </c>
      <c r="AK420" s="45">
        <v>0</v>
      </c>
      <c r="AL420" s="52">
        <f t="shared" si="96"/>
        <v>0</v>
      </c>
      <c r="AM420" s="52">
        <f t="shared" si="98"/>
        <v>43752.06</v>
      </c>
      <c r="AN420" s="51">
        <f t="shared" si="99"/>
        <v>43752.06</v>
      </c>
      <c r="AO420" s="51">
        <f t="shared" si="97"/>
        <v>0</v>
      </c>
      <c r="AP420" s="125"/>
      <c r="AQ420" s="52">
        <v>18858.650000000001</v>
      </c>
      <c r="AR420" s="52">
        <v>18858.650000000001</v>
      </c>
      <c r="AS420" s="51">
        <f t="shared" si="95"/>
        <v>0</v>
      </c>
      <c r="AT420" s="126">
        <f t="shared" si="103"/>
        <v>0</v>
      </c>
      <c r="AU420" s="48"/>
      <c r="AV420" s="46"/>
    </row>
    <row r="421" spans="1:48" ht="20.25" hidden="1" customHeight="1" x14ac:dyDescent="0.2">
      <c r="A421" s="32">
        <v>636</v>
      </c>
      <c r="B421" s="94" t="s">
        <v>1673</v>
      </c>
      <c r="C421" s="116" t="s">
        <v>1674</v>
      </c>
      <c r="D421" s="107">
        <v>1248</v>
      </c>
      <c r="E421" s="255"/>
      <c r="F421" s="36"/>
      <c r="G421" s="36"/>
      <c r="H421" s="33" t="s">
        <v>60</v>
      </c>
      <c r="I421" s="107">
        <v>6242</v>
      </c>
      <c r="J421" s="107">
        <v>1</v>
      </c>
      <c r="K421" s="39">
        <v>2</v>
      </c>
      <c r="L421" s="40" t="s">
        <v>61</v>
      </c>
      <c r="M421" s="147" t="s">
        <v>108</v>
      </c>
      <c r="N421" s="42" t="s">
        <v>63</v>
      </c>
      <c r="O421" s="148" t="s">
        <v>88</v>
      </c>
      <c r="P421" s="46" t="s">
        <v>331</v>
      </c>
      <c r="Q421" s="46" t="s">
        <v>671</v>
      </c>
      <c r="R421" s="258"/>
      <c r="S421" s="45">
        <f t="shared" si="93"/>
        <v>29889</v>
      </c>
      <c r="T421" s="45">
        <v>29889</v>
      </c>
      <c r="U421" s="45">
        <v>0</v>
      </c>
      <c r="V421" s="109" t="s">
        <v>1643</v>
      </c>
      <c r="W421" s="63">
        <v>41977</v>
      </c>
      <c r="X421" s="48"/>
      <c r="Y421" s="109" t="s">
        <v>234</v>
      </c>
      <c r="Z421" s="45"/>
      <c r="AA421" s="45"/>
      <c r="AB421" s="45">
        <f t="shared" si="104"/>
        <v>0</v>
      </c>
      <c r="AC421" s="48"/>
      <c r="AD421" s="63"/>
      <c r="AE421" s="51">
        <f t="shared" si="100"/>
        <v>0</v>
      </c>
      <c r="AF421" s="52">
        <f t="shared" si="101"/>
        <v>720.95000000000073</v>
      </c>
      <c r="AG421" s="52">
        <v>29168.05</v>
      </c>
      <c r="AH421" s="52">
        <f>14584.03+14584.02</f>
        <v>29168.050000000003</v>
      </c>
      <c r="AI421" s="52">
        <f t="shared" si="102"/>
        <v>-3.637978807091713E-12</v>
      </c>
      <c r="AJ421" s="124">
        <v>0</v>
      </c>
      <c r="AK421" s="45">
        <v>0</v>
      </c>
      <c r="AL421" s="52">
        <f t="shared" si="96"/>
        <v>0</v>
      </c>
      <c r="AM421" s="52">
        <f t="shared" si="98"/>
        <v>29168.05</v>
      </c>
      <c r="AN421" s="51">
        <f t="shared" si="99"/>
        <v>29168.050000000003</v>
      </c>
      <c r="AO421" s="51">
        <f t="shared" si="97"/>
        <v>0</v>
      </c>
      <c r="AP421" s="125"/>
      <c r="AQ421" s="52">
        <v>12572.44</v>
      </c>
      <c r="AR421" s="52">
        <v>12572.44</v>
      </c>
      <c r="AS421" s="51">
        <f t="shared" si="95"/>
        <v>0</v>
      </c>
      <c r="AT421" s="126">
        <f t="shared" si="103"/>
        <v>720.94999999999709</v>
      </c>
      <c r="AU421" s="48"/>
      <c r="AV421" s="46"/>
    </row>
    <row r="422" spans="1:48" ht="20.25" hidden="1" customHeight="1" x14ac:dyDescent="0.2">
      <c r="A422" s="32">
        <v>636</v>
      </c>
      <c r="B422" s="94" t="s">
        <v>1678</v>
      </c>
      <c r="C422" s="116" t="s">
        <v>1679</v>
      </c>
      <c r="D422" s="107">
        <v>1234</v>
      </c>
      <c r="E422" s="253" t="s">
        <v>1680</v>
      </c>
      <c r="F422" s="82"/>
      <c r="G422" s="82"/>
      <c r="H422" s="33" t="s">
        <v>1275</v>
      </c>
      <c r="I422" s="107">
        <v>6132</v>
      </c>
      <c r="J422" s="107">
        <v>1</v>
      </c>
      <c r="K422" s="39">
        <v>5</v>
      </c>
      <c r="L422" s="118" t="s">
        <v>1276</v>
      </c>
      <c r="M422" s="147" t="s">
        <v>250</v>
      </c>
      <c r="N422" s="42" t="s">
        <v>76</v>
      </c>
      <c r="O422" s="148" t="s">
        <v>252</v>
      </c>
      <c r="P422" s="46" t="s">
        <v>289</v>
      </c>
      <c r="Q422" s="46" t="s">
        <v>1676</v>
      </c>
      <c r="R422" s="257"/>
      <c r="S422" s="45">
        <f t="shared" si="93"/>
        <v>281468.3</v>
      </c>
      <c r="T422" s="45">
        <f>282805-1336.7</f>
        <v>281468.3</v>
      </c>
      <c r="U422" s="45">
        <v>0</v>
      </c>
      <c r="V422" s="109" t="s">
        <v>1643</v>
      </c>
      <c r="W422" s="63">
        <v>41977</v>
      </c>
      <c r="X422" s="48"/>
      <c r="Y422" s="109" t="s">
        <v>234</v>
      </c>
      <c r="Z422" s="45"/>
      <c r="AA422" s="45"/>
      <c r="AB422" s="45">
        <f t="shared" si="104"/>
        <v>0</v>
      </c>
      <c r="AC422" s="48"/>
      <c r="AD422" s="63"/>
      <c r="AE422" s="51">
        <f t="shared" si="100"/>
        <v>0</v>
      </c>
      <c r="AF422" s="52">
        <f t="shared" si="101"/>
        <v>0</v>
      </c>
      <c r="AG422" s="52">
        <v>281468.3</v>
      </c>
      <c r="AH422" s="52">
        <f>140734.15+140734.15</f>
        <v>281468.3</v>
      </c>
      <c r="AI422" s="52">
        <f t="shared" si="102"/>
        <v>0</v>
      </c>
      <c r="AJ422" s="124">
        <v>0</v>
      </c>
      <c r="AK422" s="45">
        <v>0</v>
      </c>
      <c r="AL422" s="52">
        <f t="shared" si="96"/>
        <v>0</v>
      </c>
      <c r="AM422" s="52">
        <f t="shared" si="98"/>
        <v>281468.3</v>
      </c>
      <c r="AN422" s="51">
        <f t="shared" si="99"/>
        <v>281468.3</v>
      </c>
      <c r="AO422" s="51">
        <f t="shared" si="97"/>
        <v>0</v>
      </c>
      <c r="AP422" s="125" t="s">
        <v>948</v>
      </c>
      <c r="AQ422" s="52">
        <v>121322.54</v>
      </c>
      <c r="AR422" s="52">
        <v>121322.54</v>
      </c>
      <c r="AS422" s="51">
        <f t="shared" si="95"/>
        <v>0</v>
      </c>
      <c r="AT422" s="126">
        <f t="shared" si="103"/>
        <v>0</v>
      </c>
      <c r="AU422" s="48"/>
      <c r="AV422" s="46"/>
    </row>
    <row r="423" spans="1:48" ht="20.25" hidden="1" customHeight="1" x14ac:dyDescent="0.2">
      <c r="A423" s="32">
        <v>636</v>
      </c>
      <c r="B423" s="94" t="s">
        <v>1678</v>
      </c>
      <c r="C423" s="116" t="s">
        <v>1679</v>
      </c>
      <c r="D423" s="107">
        <v>1237</v>
      </c>
      <c r="E423" s="255"/>
      <c r="F423" s="36"/>
      <c r="G423" s="36"/>
      <c r="H423" s="33" t="s">
        <v>60</v>
      </c>
      <c r="I423" s="107">
        <v>6132</v>
      </c>
      <c r="J423" s="107">
        <v>1</v>
      </c>
      <c r="K423" s="39">
        <v>2</v>
      </c>
      <c r="L423" s="40" t="s">
        <v>61</v>
      </c>
      <c r="M423" s="147" t="s">
        <v>250</v>
      </c>
      <c r="N423" s="42" t="s">
        <v>76</v>
      </c>
      <c r="O423" s="148" t="s">
        <v>252</v>
      </c>
      <c r="P423" s="46" t="s">
        <v>289</v>
      </c>
      <c r="Q423" s="46" t="s">
        <v>1676</v>
      </c>
      <c r="R423" s="257"/>
      <c r="S423" s="45">
        <f t="shared" ref="S423:S480" si="105">T423+U423</f>
        <v>188537</v>
      </c>
      <c r="T423" s="45">
        <v>188537</v>
      </c>
      <c r="U423" s="45">
        <v>0</v>
      </c>
      <c r="V423" s="109" t="s">
        <v>1643</v>
      </c>
      <c r="W423" s="63">
        <v>41977</v>
      </c>
      <c r="X423" s="48"/>
      <c r="Y423" s="109" t="s">
        <v>234</v>
      </c>
      <c r="Z423" s="45"/>
      <c r="AA423" s="45"/>
      <c r="AB423" s="45">
        <f t="shared" si="104"/>
        <v>0</v>
      </c>
      <c r="AC423" s="48"/>
      <c r="AD423" s="63"/>
      <c r="AE423" s="51">
        <f t="shared" si="100"/>
        <v>0</v>
      </c>
      <c r="AF423" s="52">
        <f t="shared" si="101"/>
        <v>891.45999999999185</v>
      </c>
      <c r="AG423" s="52">
        <v>187645.54</v>
      </c>
      <c r="AH423" s="52">
        <f>93822.77+93822.77</f>
        <v>187645.54</v>
      </c>
      <c r="AI423" s="52">
        <f t="shared" si="102"/>
        <v>0</v>
      </c>
      <c r="AJ423" s="124">
        <v>0</v>
      </c>
      <c r="AK423" s="45">
        <v>0</v>
      </c>
      <c r="AL423" s="52">
        <f t="shared" si="96"/>
        <v>0</v>
      </c>
      <c r="AM423" s="52">
        <f t="shared" si="98"/>
        <v>187645.54</v>
      </c>
      <c r="AN423" s="51">
        <f t="shared" si="99"/>
        <v>187645.54</v>
      </c>
      <c r="AO423" s="51">
        <f t="shared" si="97"/>
        <v>0</v>
      </c>
      <c r="AP423" s="125" t="s">
        <v>948</v>
      </c>
      <c r="AQ423" s="52">
        <v>80881.7</v>
      </c>
      <c r="AR423" s="52">
        <v>80881.7</v>
      </c>
      <c r="AS423" s="51">
        <f t="shared" si="95"/>
        <v>0</v>
      </c>
      <c r="AT423" s="126">
        <f t="shared" si="103"/>
        <v>891.45999999999185</v>
      </c>
      <c r="AU423" s="48"/>
      <c r="AV423" s="46"/>
    </row>
    <row r="424" spans="1:48" ht="20.25" hidden="1" customHeight="1" x14ac:dyDescent="0.2">
      <c r="A424" s="32">
        <v>636</v>
      </c>
      <c r="B424" s="94" t="s">
        <v>1681</v>
      </c>
      <c r="C424" s="116" t="s">
        <v>1682</v>
      </c>
      <c r="D424" s="107">
        <v>1256</v>
      </c>
      <c r="E424" s="253" t="s">
        <v>1683</v>
      </c>
      <c r="F424" s="82"/>
      <c r="G424" s="82"/>
      <c r="H424" s="33" t="s">
        <v>1275</v>
      </c>
      <c r="I424" s="107">
        <v>6132</v>
      </c>
      <c r="J424" s="107">
        <v>1</v>
      </c>
      <c r="K424" s="39">
        <v>5</v>
      </c>
      <c r="L424" s="118" t="s">
        <v>1276</v>
      </c>
      <c r="M424" s="147" t="s">
        <v>250</v>
      </c>
      <c r="N424" s="42" t="s">
        <v>76</v>
      </c>
      <c r="O424" s="148" t="s">
        <v>252</v>
      </c>
      <c r="P424" s="46" t="s">
        <v>289</v>
      </c>
      <c r="Q424" s="46" t="s">
        <v>1676</v>
      </c>
      <c r="R424" s="257"/>
      <c r="S424" s="45">
        <f t="shared" si="105"/>
        <v>291344.59999999998</v>
      </c>
      <c r="T424" s="45">
        <f>292763-1418.4</f>
        <v>291344.59999999998</v>
      </c>
      <c r="U424" s="45">
        <v>0</v>
      </c>
      <c r="V424" s="109" t="s">
        <v>1643</v>
      </c>
      <c r="W424" s="63">
        <v>41977</v>
      </c>
      <c r="X424" s="48"/>
      <c r="Y424" s="109" t="s">
        <v>234</v>
      </c>
      <c r="Z424" s="45"/>
      <c r="AA424" s="45"/>
      <c r="AB424" s="45">
        <f t="shared" si="104"/>
        <v>0</v>
      </c>
      <c r="AC424" s="48"/>
      <c r="AD424" s="63"/>
      <c r="AE424" s="51">
        <f t="shared" si="100"/>
        <v>0</v>
      </c>
      <c r="AF424" s="52">
        <f t="shared" si="101"/>
        <v>0</v>
      </c>
      <c r="AG424" s="52">
        <v>291344.59999999998</v>
      </c>
      <c r="AH424" s="52">
        <f>145672.3+145672.3</f>
        <v>291344.59999999998</v>
      </c>
      <c r="AI424" s="52">
        <f t="shared" si="102"/>
        <v>0</v>
      </c>
      <c r="AJ424" s="124">
        <v>0</v>
      </c>
      <c r="AK424" s="45">
        <v>0</v>
      </c>
      <c r="AL424" s="52">
        <f t="shared" si="96"/>
        <v>0</v>
      </c>
      <c r="AM424" s="52">
        <f t="shared" si="98"/>
        <v>291344.59999999998</v>
      </c>
      <c r="AN424" s="51">
        <f t="shared" si="99"/>
        <v>291344.59999999998</v>
      </c>
      <c r="AO424" s="51">
        <f t="shared" si="97"/>
        <v>0</v>
      </c>
      <c r="AP424" s="125" t="s">
        <v>948</v>
      </c>
      <c r="AQ424" s="52">
        <v>125579.57</v>
      </c>
      <c r="AR424" s="52">
        <v>125579.57</v>
      </c>
      <c r="AS424" s="51">
        <f t="shared" si="95"/>
        <v>0</v>
      </c>
      <c r="AT424" s="126">
        <f t="shared" si="103"/>
        <v>0</v>
      </c>
      <c r="AU424" s="48"/>
      <c r="AV424" s="46"/>
    </row>
    <row r="425" spans="1:48" ht="20.25" hidden="1" customHeight="1" x14ac:dyDescent="0.2">
      <c r="A425" s="32">
        <v>636</v>
      </c>
      <c r="B425" s="94" t="s">
        <v>1681</v>
      </c>
      <c r="C425" s="116" t="s">
        <v>1682</v>
      </c>
      <c r="D425" s="107">
        <v>1257</v>
      </c>
      <c r="E425" s="255"/>
      <c r="F425" s="36"/>
      <c r="G425" s="36"/>
      <c r="H425" s="33" t="s">
        <v>60</v>
      </c>
      <c r="I425" s="107">
        <v>6132</v>
      </c>
      <c r="J425" s="107">
        <v>1</v>
      </c>
      <c r="K425" s="39">
        <v>2</v>
      </c>
      <c r="L425" s="40" t="s">
        <v>61</v>
      </c>
      <c r="M425" s="147" t="s">
        <v>250</v>
      </c>
      <c r="N425" s="42" t="s">
        <v>76</v>
      </c>
      <c r="O425" s="148" t="s">
        <v>252</v>
      </c>
      <c r="P425" s="46" t="s">
        <v>289</v>
      </c>
      <c r="Q425" s="46" t="s">
        <v>1676</v>
      </c>
      <c r="R425" s="258"/>
      <c r="S425" s="45">
        <f t="shared" si="105"/>
        <v>195175</v>
      </c>
      <c r="T425" s="45">
        <v>195175</v>
      </c>
      <c r="U425" s="45">
        <v>0</v>
      </c>
      <c r="V425" s="109" t="s">
        <v>1643</v>
      </c>
      <c r="W425" s="63">
        <v>41977</v>
      </c>
      <c r="X425" s="48"/>
      <c r="Y425" s="109" t="s">
        <v>234</v>
      </c>
      <c r="Z425" s="45"/>
      <c r="AA425" s="45"/>
      <c r="AB425" s="45">
        <f t="shared" si="104"/>
        <v>0</v>
      </c>
      <c r="AC425" s="48"/>
      <c r="AD425" s="63"/>
      <c r="AE425" s="51">
        <f t="shared" si="100"/>
        <v>0</v>
      </c>
      <c r="AF425" s="52">
        <f t="shared" si="101"/>
        <v>945.26000000000931</v>
      </c>
      <c r="AG425" s="52">
        <v>194229.74</v>
      </c>
      <c r="AH425" s="52">
        <f>97114.87+97114.87</f>
        <v>194229.74</v>
      </c>
      <c r="AI425" s="52">
        <f t="shared" si="102"/>
        <v>0</v>
      </c>
      <c r="AJ425" s="124">
        <v>0</v>
      </c>
      <c r="AK425" s="45">
        <v>0</v>
      </c>
      <c r="AL425" s="52">
        <f t="shared" si="96"/>
        <v>0</v>
      </c>
      <c r="AM425" s="52">
        <f t="shared" si="98"/>
        <v>194229.74</v>
      </c>
      <c r="AN425" s="51">
        <f t="shared" si="99"/>
        <v>194229.74</v>
      </c>
      <c r="AO425" s="51">
        <f t="shared" si="97"/>
        <v>0</v>
      </c>
      <c r="AP425" s="125" t="s">
        <v>948</v>
      </c>
      <c r="AQ425" s="52">
        <v>83719.710000000006</v>
      </c>
      <c r="AR425" s="52">
        <v>83719.710000000006</v>
      </c>
      <c r="AS425" s="51">
        <f t="shared" si="95"/>
        <v>0</v>
      </c>
      <c r="AT425" s="126">
        <f t="shared" si="103"/>
        <v>945.26000000000931</v>
      </c>
      <c r="AU425" s="48"/>
      <c r="AV425" s="46"/>
    </row>
    <row r="426" spans="1:48" ht="20.25" hidden="1" customHeight="1" x14ac:dyDescent="0.2">
      <c r="A426" s="32">
        <v>636</v>
      </c>
      <c r="B426" s="122" t="s">
        <v>1684</v>
      </c>
      <c r="C426" s="116" t="s">
        <v>27</v>
      </c>
      <c r="D426" s="107">
        <v>274</v>
      </c>
      <c r="E426" s="46" t="s">
        <v>1685</v>
      </c>
      <c r="F426" s="46"/>
      <c r="G426" s="46"/>
      <c r="H426" s="33" t="s">
        <v>284</v>
      </c>
      <c r="I426" s="107">
        <v>6132</v>
      </c>
      <c r="J426" s="107"/>
      <c r="K426" s="169">
        <v>2.11</v>
      </c>
      <c r="L426" s="118" t="s">
        <v>1686</v>
      </c>
      <c r="M426" s="147" t="s">
        <v>250</v>
      </c>
      <c r="N426" s="117" t="s">
        <v>1687</v>
      </c>
      <c r="O426" s="148" t="s">
        <v>252</v>
      </c>
      <c r="P426" s="46" t="s">
        <v>804</v>
      </c>
      <c r="Q426" s="46" t="s">
        <v>1688</v>
      </c>
      <c r="R426" s="256" t="s">
        <v>1689</v>
      </c>
      <c r="S426" s="45">
        <f t="shared" si="105"/>
        <v>196552.13</v>
      </c>
      <c r="T426" s="45">
        <v>196552.13</v>
      </c>
      <c r="U426" s="45">
        <v>0</v>
      </c>
      <c r="V426" s="109" t="s">
        <v>1690</v>
      </c>
      <c r="W426" s="63">
        <v>41970</v>
      </c>
      <c r="X426" s="48"/>
      <c r="Y426" s="109" t="s">
        <v>234</v>
      </c>
      <c r="Z426" s="45">
        <v>0</v>
      </c>
      <c r="AA426" s="45"/>
      <c r="AB426" s="45">
        <f t="shared" si="104"/>
        <v>0</v>
      </c>
      <c r="AC426" s="48"/>
      <c r="AD426" s="63"/>
      <c r="AE426" s="51">
        <f t="shared" si="100"/>
        <v>0</v>
      </c>
      <c r="AF426" s="52">
        <f t="shared" si="101"/>
        <v>7246.5299999999988</v>
      </c>
      <c r="AG426" s="52">
        <v>189305.60000000001</v>
      </c>
      <c r="AH426" s="52">
        <f>56791.67+117116.79</f>
        <v>173908.46</v>
      </c>
      <c r="AI426" s="52">
        <f t="shared" si="102"/>
        <v>15397.140000000014</v>
      </c>
      <c r="AJ426" s="124">
        <v>0</v>
      </c>
      <c r="AK426" s="45">
        <v>0</v>
      </c>
      <c r="AL426" s="52">
        <f t="shared" si="96"/>
        <v>0</v>
      </c>
      <c r="AM426" s="52">
        <f t="shared" si="98"/>
        <v>189305.60000000001</v>
      </c>
      <c r="AN426" s="51">
        <f t="shared" si="99"/>
        <v>173908.46</v>
      </c>
      <c r="AO426" s="51">
        <f t="shared" si="97"/>
        <v>15397.140000000014</v>
      </c>
      <c r="AP426" s="125" t="s">
        <v>344</v>
      </c>
      <c r="AQ426" s="52">
        <v>48958.34</v>
      </c>
      <c r="AR426" s="51">
        <v>43269.75</v>
      </c>
      <c r="AS426" s="51">
        <f t="shared" si="95"/>
        <v>5688.5899999999965</v>
      </c>
      <c r="AT426" s="51">
        <f t="shared" si="103"/>
        <v>22643.670000000013</v>
      </c>
      <c r="AU426" s="48"/>
      <c r="AV426" s="46"/>
    </row>
    <row r="427" spans="1:48" ht="24.75" hidden="1" x14ac:dyDescent="0.2">
      <c r="A427" s="32">
        <v>636</v>
      </c>
      <c r="B427" s="122" t="s">
        <v>1691</v>
      </c>
      <c r="C427" s="116" t="s">
        <v>27</v>
      </c>
      <c r="D427" s="107">
        <v>1330</v>
      </c>
      <c r="E427" s="46" t="s">
        <v>1692</v>
      </c>
      <c r="F427" s="46" t="s">
        <v>1693</v>
      </c>
      <c r="G427" s="46"/>
      <c r="H427" s="33" t="s">
        <v>284</v>
      </c>
      <c r="I427" s="107">
        <v>6132</v>
      </c>
      <c r="J427" s="107"/>
      <c r="K427" s="169">
        <v>2.11</v>
      </c>
      <c r="L427" s="118" t="s">
        <v>1686</v>
      </c>
      <c r="M427" s="147" t="s">
        <v>250</v>
      </c>
      <c r="N427" s="117" t="s">
        <v>1687</v>
      </c>
      <c r="O427" s="148" t="s">
        <v>252</v>
      </c>
      <c r="P427" s="46" t="s">
        <v>804</v>
      </c>
      <c r="Q427" s="46" t="s">
        <v>1106</v>
      </c>
      <c r="R427" s="257"/>
      <c r="S427" s="45">
        <f t="shared" si="105"/>
        <v>164792.47999999998</v>
      </c>
      <c r="T427" s="45">
        <f>162620.46-1982.41</f>
        <v>160638.04999999999</v>
      </c>
      <c r="U427" s="45">
        <f>4205.7-51.27</f>
        <v>4154.4299999999994</v>
      </c>
      <c r="V427" s="67" t="s">
        <v>1694</v>
      </c>
      <c r="W427" s="47" t="s">
        <v>1695</v>
      </c>
      <c r="X427" s="48"/>
      <c r="Y427" s="109" t="s">
        <v>1696</v>
      </c>
      <c r="Z427" s="45">
        <v>4154.43</v>
      </c>
      <c r="AA427" s="45">
        <v>3283.02</v>
      </c>
      <c r="AB427" s="45">
        <f t="shared" si="104"/>
        <v>871.41000000000031</v>
      </c>
      <c r="AC427" s="48" t="s">
        <v>82</v>
      </c>
      <c r="AD427" s="63">
        <v>42314</v>
      </c>
      <c r="AE427" s="51">
        <f t="shared" si="100"/>
        <v>0</v>
      </c>
      <c r="AF427" s="52">
        <f t="shared" si="101"/>
        <v>0</v>
      </c>
      <c r="AG427" s="52">
        <v>160638.04999999999</v>
      </c>
      <c r="AH427" s="52">
        <f>48191.41+83349</f>
        <v>131540.41</v>
      </c>
      <c r="AI427" s="52">
        <f t="shared" si="102"/>
        <v>29097.639999999985</v>
      </c>
      <c r="AJ427" s="124">
        <v>0</v>
      </c>
      <c r="AK427" s="45">
        <v>0</v>
      </c>
      <c r="AL427" s="52">
        <f t="shared" si="96"/>
        <v>0</v>
      </c>
      <c r="AM427" s="52">
        <f t="shared" si="98"/>
        <v>164792.47999999998</v>
      </c>
      <c r="AN427" s="51">
        <f t="shared" si="99"/>
        <v>134823.43</v>
      </c>
      <c r="AO427" s="51">
        <f t="shared" si="97"/>
        <v>29969.049999999988</v>
      </c>
      <c r="AP427" s="125" t="s">
        <v>344</v>
      </c>
      <c r="AQ427" s="52">
        <v>41544.32</v>
      </c>
      <c r="AR427" s="51">
        <v>30793.97</v>
      </c>
      <c r="AS427" s="51">
        <f t="shared" si="95"/>
        <v>10750.349999999999</v>
      </c>
      <c r="AT427" s="51">
        <f t="shared" si="103"/>
        <v>29969.049999999988</v>
      </c>
      <c r="AU427" s="48"/>
      <c r="AV427" s="46"/>
    </row>
    <row r="428" spans="1:48" ht="20.25" hidden="1" customHeight="1" x14ac:dyDescent="0.2">
      <c r="A428" s="32">
        <v>636</v>
      </c>
      <c r="B428" s="122" t="s">
        <v>1697</v>
      </c>
      <c r="C428" s="116" t="s">
        <v>27</v>
      </c>
      <c r="D428" s="107">
        <v>1332</v>
      </c>
      <c r="E428" s="46" t="s">
        <v>1698</v>
      </c>
      <c r="F428" s="46" t="s">
        <v>1693</v>
      </c>
      <c r="G428" s="46"/>
      <c r="H428" s="33" t="s">
        <v>284</v>
      </c>
      <c r="I428" s="107">
        <v>6132</v>
      </c>
      <c r="J428" s="107"/>
      <c r="K428" s="169">
        <v>2.11</v>
      </c>
      <c r="L428" s="118" t="s">
        <v>1686</v>
      </c>
      <c r="M428" s="147" t="s">
        <v>250</v>
      </c>
      <c r="N428" s="117" t="s">
        <v>1687</v>
      </c>
      <c r="O428" s="148" t="s">
        <v>252</v>
      </c>
      <c r="P428" s="46" t="s">
        <v>804</v>
      </c>
      <c r="Q428" s="46" t="s">
        <v>1699</v>
      </c>
      <c r="R428" s="257"/>
      <c r="S428" s="45">
        <f t="shared" si="105"/>
        <v>168524.12000000002</v>
      </c>
      <c r="T428" s="45">
        <f>167144.66-2869.05</f>
        <v>164275.61000000002</v>
      </c>
      <c r="U428" s="45">
        <f>4322.71-74.2</f>
        <v>4248.51</v>
      </c>
      <c r="V428" s="67" t="s">
        <v>1694</v>
      </c>
      <c r="W428" s="47" t="s">
        <v>1695</v>
      </c>
      <c r="X428" s="48"/>
      <c r="Y428" s="109" t="s">
        <v>1696</v>
      </c>
      <c r="Z428" s="45">
        <v>4248.51</v>
      </c>
      <c r="AA428" s="45"/>
      <c r="AB428" s="45">
        <f t="shared" si="104"/>
        <v>4248.51</v>
      </c>
      <c r="AC428" s="48"/>
      <c r="AD428" s="63"/>
      <c r="AE428" s="51">
        <f t="shared" si="100"/>
        <v>0</v>
      </c>
      <c r="AF428" s="52">
        <f t="shared" si="101"/>
        <v>2.9103830456733704E-11</v>
      </c>
      <c r="AG428" s="52">
        <v>164275.60999999999</v>
      </c>
      <c r="AH428" s="52">
        <f>49282.68+100479.64</f>
        <v>149762.32</v>
      </c>
      <c r="AI428" s="52">
        <f t="shared" si="102"/>
        <v>14513.289999999979</v>
      </c>
      <c r="AJ428" s="124">
        <v>0</v>
      </c>
      <c r="AK428" s="45">
        <v>0</v>
      </c>
      <c r="AL428" s="52">
        <f t="shared" si="96"/>
        <v>0</v>
      </c>
      <c r="AM428" s="52">
        <f t="shared" si="98"/>
        <v>168524.12</v>
      </c>
      <c r="AN428" s="51">
        <f t="shared" si="99"/>
        <v>149762.32</v>
      </c>
      <c r="AO428" s="51">
        <f t="shared" si="97"/>
        <v>18761.799999999988</v>
      </c>
      <c r="AP428" s="125" t="s">
        <v>344</v>
      </c>
      <c r="AQ428" s="52">
        <v>42485.07</v>
      </c>
      <c r="AR428" s="51">
        <v>37123.019999999997</v>
      </c>
      <c r="AS428" s="51">
        <f t="shared" si="95"/>
        <v>5362.0500000000029</v>
      </c>
      <c r="AT428" s="51">
        <f t="shared" si="103"/>
        <v>18761.800000000017</v>
      </c>
      <c r="AU428" s="48"/>
      <c r="AV428" s="46"/>
    </row>
    <row r="429" spans="1:48" ht="24.75" hidden="1" x14ac:dyDescent="0.2">
      <c r="A429" s="32">
        <v>636</v>
      </c>
      <c r="B429" s="122" t="s">
        <v>1700</v>
      </c>
      <c r="C429" s="116" t="s">
        <v>27</v>
      </c>
      <c r="D429" s="107">
        <v>1333</v>
      </c>
      <c r="E429" s="46" t="s">
        <v>1701</v>
      </c>
      <c r="F429" s="46" t="s">
        <v>1693</v>
      </c>
      <c r="G429" s="46"/>
      <c r="H429" s="33" t="s">
        <v>284</v>
      </c>
      <c r="I429" s="107">
        <v>6132</v>
      </c>
      <c r="J429" s="107"/>
      <c r="K429" s="169">
        <v>2.11</v>
      </c>
      <c r="L429" s="118" t="s">
        <v>1686</v>
      </c>
      <c r="M429" s="147" t="s">
        <v>250</v>
      </c>
      <c r="N429" s="117" t="s">
        <v>1687</v>
      </c>
      <c r="O429" s="148" t="s">
        <v>252</v>
      </c>
      <c r="P429" s="46" t="s">
        <v>804</v>
      </c>
      <c r="Q429" s="46" t="s">
        <v>1702</v>
      </c>
      <c r="R429" s="257"/>
      <c r="S429" s="45">
        <f t="shared" si="105"/>
        <v>48071.24</v>
      </c>
      <c r="T429" s="45">
        <f>54894.88-6823.64</f>
        <v>48071.24</v>
      </c>
      <c r="U429" s="45">
        <v>0</v>
      </c>
      <c r="V429" s="67" t="s">
        <v>1694</v>
      </c>
      <c r="W429" s="47" t="s">
        <v>1695</v>
      </c>
      <c r="X429" s="48"/>
      <c r="Y429" s="109" t="s">
        <v>234</v>
      </c>
      <c r="Z429" s="45">
        <v>0</v>
      </c>
      <c r="AA429" s="45"/>
      <c r="AB429" s="45">
        <f t="shared" si="104"/>
        <v>0</v>
      </c>
      <c r="AC429" s="48"/>
      <c r="AD429" s="63"/>
      <c r="AE429" s="51">
        <f t="shared" si="100"/>
        <v>0</v>
      </c>
      <c r="AF429" s="52">
        <f t="shared" si="101"/>
        <v>0</v>
      </c>
      <c r="AG429" s="52">
        <v>48071.24</v>
      </c>
      <c r="AH429" s="52">
        <f>14421.38+26014.57</f>
        <v>40435.949999999997</v>
      </c>
      <c r="AI429" s="52">
        <f t="shared" si="102"/>
        <v>7635.2900000000009</v>
      </c>
      <c r="AJ429" s="124">
        <v>0</v>
      </c>
      <c r="AK429" s="45">
        <v>0</v>
      </c>
      <c r="AL429" s="52">
        <f t="shared" si="96"/>
        <v>0</v>
      </c>
      <c r="AM429" s="52">
        <f t="shared" si="98"/>
        <v>48071.24</v>
      </c>
      <c r="AN429" s="51">
        <f t="shared" si="99"/>
        <v>40435.949999999997</v>
      </c>
      <c r="AO429" s="51">
        <f t="shared" si="97"/>
        <v>7635.2900000000009</v>
      </c>
      <c r="AP429" s="125" t="s">
        <v>344</v>
      </c>
      <c r="AQ429" s="52">
        <v>12432.22</v>
      </c>
      <c r="AR429" s="51">
        <v>9611.2999999999993</v>
      </c>
      <c r="AS429" s="51">
        <f t="shared" si="95"/>
        <v>2820.92</v>
      </c>
      <c r="AT429" s="51">
        <f t="shared" si="103"/>
        <v>7635.2900000000009</v>
      </c>
      <c r="AU429" s="48"/>
      <c r="AV429" s="46"/>
    </row>
    <row r="430" spans="1:48" ht="25.5" hidden="1" customHeight="1" x14ac:dyDescent="0.2">
      <c r="A430" s="32">
        <v>636</v>
      </c>
      <c r="B430" s="122" t="s">
        <v>1703</v>
      </c>
      <c r="C430" s="116"/>
      <c r="D430" s="107">
        <v>1468</v>
      </c>
      <c r="E430" s="46" t="s">
        <v>1704</v>
      </c>
      <c r="F430" s="46" t="s">
        <v>1693</v>
      </c>
      <c r="G430" s="46"/>
      <c r="H430" s="33" t="s">
        <v>284</v>
      </c>
      <c r="I430" s="107">
        <v>6132</v>
      </c>
      <c r="J430" s="107"/>
      <c r="K430" s="169">
        <v>2.11</v>
      </c>
      <c r="L430" s="118" t="s">
        <v>1686</v>
      </c>
      <c r="M430" s="147" t="s">
        <v>250</v>
      </c>
      <c r="N430" s="117" t="s">
        <v>1687</v>
      </c>
      <c r="O430" s="148" t="s">
        <v>252</v>
      </c>
      <c r="P430" s="46" t="s">
        <v>804</v>
      </c>
      <c r="Q430" s="46" t="s">
        <v>1623</v>
      </c>
      <c r="R430" s="258"/>
      <c r="S430" s="45">
        <f t="shared" si="105"/>
        <v>202267.5</v>
      </c>
      <c r="T430" s="45">
        <f>199215.1-2046.78</f>
        <v>197168.32</v>
      </c>
      <c r="U430" s="45">
        <f>5152.11-52.93</f>
        <v>5099.1799999999994</v>
      </c>
      <c r="V430" s="67" t="s">
        <v>1705</v>
      </c>
      <c r="W430" s="47" t="s">
        <v>1706</v>
      </c>
      <c r="X430" s="48"/>
      <c r="Y430" s="109" t="s">
        <v>1696</v>
      </c>
      <c r="Z430" s="45">
        <v>5099.18</v>
      </c>
      <c r="AA430" s="45"/>
      <c r="AB430" s="45">
        <f t="shared" si="104"/>
        <v>5099.18</v>
      </c>
      <c r="AC430" s="48"/>
      <c r="AD430" s="63"/>
      <c r="AE430" s="51">
        <f t="shared" si="100"/>
        <v>0</v>
      </c>
      <c r="AF430" s="52">
        <f t="shared" si="101"/>
        <v>0</v>
      </c>
      <c r="AG430" s="52">
        <v>197168.32</v>
      </c>
      <c r="AH430" s="52">
        <f>59150.5+124044.73</f>
        <v>183195.22999999998</v>
      </c>
      <c r="AI430" s="52">
        <f t="shared" si="102"/>
        <v>13973.090000000026</v>
      </c>
      <c r="AJ430" s="124">
        <v>0</v>
      </c>
      <c r="AK430" s="45">
        <v>0</v>
      </c>
      <c r="AL430" s="52">
        <f t="shared" si="96"/>
        <v>0</v>
      </c>
      <c r="AM430" s="52">
        <f t="shared" si="98"/>
        <v>202267.5</v>
      </c>
      <c r="AN430" s="51">
        <f t="shared" si="99"/>
        <v>183195.22999999998</v>
      </c>
      <c r="AO430" s="51">
        <f t="shared" si="97"/>
        <v>19072.270000000019</v>
      </c>
      <c r="AP430" s="125" t="s">
        <v>344</v>
      </c>
      <c r="AQ430" s="52">
        <v>50991.81</v>
      </c>
      <c r="AR430" s="51">
        <v>45829.33</v>
      </c>
      <c r="AS430" s="51">
        <f t="shared" si="95"/>
        <v>5162.4799999999959</v>
      </c>
      <c r="AT430" s="51">
        <f t="shared" si="103"/>
        <v>19072.270000000019</v>
      </c>
      <c r="AU430" s="48"/>
      <c r="AV430" s="46"/>
    </row>
    <row r="431" spans="1:48" ht="25.5" hidden="1" customHeight="1" x14ac:dyDescent="0.2">
      <c r="A431" s="151">
        <v>639</v>
      </c>
      <c r="B431" s="122" t="s">
        <v>1707</v>
      </c>
      <c r="C431" s="116"/>
      <c r="D431" s="107">
        <v>258</v>
      </c>
      <c r="E431" s="46" t="s">
        <v>1708</v>
      </c>
      <c r="F431" s="46"/>
      <c r="G431" s="46"/>
      <c r="H431" s="33" t="s">
        <v>1709</v>
      </c>
      <c r="I431" s="107">
        <v>6222</v>
      </c>
      <c r="J431" s="107"/>
      <c r="K431" s="39"/>
      <c r="L431" s="118" t="s">
        <v>1710</v>
      </c>
      <c r="M431" s="147" t="s">
        <v>1560</v>
      </c>
      <c r="N431" s="42" t="s">
        <v>76</v>
      </c>
      <c r="O431" s="148" t="s">
        <v>237</v>
      </c>
      <c r="P431" s="46" t="s">
        <v>434</v>
      </c>
      <c r="Q431" s="46" t="s">
        <v>675</v>
      </c>
      <c r="R431" s="256" t="s">
        <v>1711</v>
      </c>
      <c r="S431" s="45">
        <f t="shared" si="105"/>
        <v>1480.27</v>
      </c>
      <c r="T431" s="45">
        <v>1480.27</v>
      </c>
      <c r="U431" s="45">
        <v>0</v>
      </c>
      <c r="V431" s="109" t="s">
        <v>1712</v>
      </c>
      <c r="W431" s="63">
        <v>41787</v>
      </c>
      <c r="X431" s="48"/>
      <c r="Y431" s="109" t="s">
        <v>234</v>
      </c>
      <c r="Z431" s="45"/>
      <c r="AA431" s="45"/>
      <c r="AB431" s="45">
        <f t="shared" si="104"/>
        <v>0</v>
      </c>
      <c r="AC431" s="48"/>
      <c r="AD431" s="63"/>
      <c r="AE431" s="51">
        <f t="shared" si="100"/>
        <v>0</v>
      </c>
      <c r="AF431" s="52">
        <f t="shared" si="101"/>
        <v>18.650000000000091</v>
      </c>
      <c r="AG431" s="52">
        <v>1461.62</v>
      </c>
      <c r="AH431" s="52">
        <v>1461.62</v>
      </c>
      <c r="AI431" s="52">
        <f t="shared" si="102"/>
        <v>0</v>
      </c>
      <c r="AJ431" s="124">
        <v>0</v>
      </c>
      <c r="AK431" s="45">
        <v>0</v>
      </c>
      <c r="AL431" s="52">
        <f t="shared" si="96"/>
        <v>0</v>
      </c>
      <c r="AM431" s="52">
        <f t="shared" si="98"/>
        <v>1461.62</v>
      </c>
      <c r="AN431" s="51">
        <f t="shared" si="99"/>
        <v>1461.62</v>
      </c>
      <c r="AO431" s="51">
        <f t="shared" si="97"/>
        <v>0</v>
      </c>
      <c r="AP431" s="125"/>
      <c r="AQ431" s="52"/>
      <c r="AR431" s="51"/>
      <c r="AS431" s="51">
        <f t="shared" si="95"/>
        <v>0</v>
      </c>
      <c r="AT431" s="126">
        <f t="shared" si="103"/>
        <v>18.650000000000091</v>
      </c>
      <c r="AU431" s="48"/>
      <c r="AV431" s="46"/>
    </row>
    <row r="432" spans="1:48" ht="25.5" hidden="1" customHeight="1" x14ac:dyDescent="0.2">
      <c r="A432" s="151">
        <v>639</v>
      </c>
      <c r="B432" s="122" t="s">
        <v>1707</v>
      </c>
      <c r="C432" s="116"/>
      <c r="D432" s="107">
        <v>258</v>
      </c>
      <c r="E432" s="46" t="s">
        <v>1708</v>
      </c>
      <c r="F432" s="46"/>
      <c r="G432" s="46"/>
      <c r="H432" s="33" t="s">
        <v>1709</v>
      </c>
      <c r="I432" s="107">
        <v>6222</v>
      </c>
      <c r="J432" s="107"/>
      <c r="K432" s="39"/>
      <c r="L432" s="118" t="s">
        <v>1713</v>
      </c>
      <c r="M432" s="147" t="s">
        <v>1560</v>
      </c>
      <c r="N432" s="42" t="s">
        <v>76</v>
      </c>
      <c r="O432" s="148" t="s">
        <v>237</v>
      </c>
      <c r="P432" s="46" t="s">
        <v>434</v>
      </c>
      <c r="Q432" s="46" t="s">
        <v>675</v>
      </c>
      <c r="R432" s="257"/>
      <c r="S432" s="45">
        <f t="shared" si="105"/>
        <v>427669.59</v>
      </c>
      <c r="T432" s="45">
        <v>427669.59</v>
      </c>
      <c r="U432" s="45">
        <v>0</v>
      </c>
      <c r="V432" s="109" t="s">
        <v>1712</v>
      </c>
      <c r="W432" s="63">
        <v>41787</v>
      </c>
      <c r="X432" s="48"/>
      <c r="Y432" s="109" t="s">
        <v>234</v>
      </c>
      <c r="Z432" s="45"/>
      <c r="AA432" s="45"/>
      <c r="AB432" s="45">
        <f t="shared" si="104"/>
        <v>0</v>
      </c>
      <c r="AC432" s="48"/>
      <c r="AD432" s="63"/>
      <c r="AE432" s="51">
        <f t="shared" si="100"/>
        <v>0</v>
      </c>
      <c r="AF432" s="52">
        <f t="shared" si="101"/>
        <v>5385.5200000000186</v>
      </c>
      <c r="AG432" s="52">
        <v>422284.07</v>
      </c>
      <c r="AH432" s="52">
        <v>422284.07</v>
      </c>
      <c r="AI432" s="52">
        <f t="shared" si="102"/>
        <v>0</v>
      </c>
      <c r="AJ432" s="124">
        <v>0</v>
      </c>
      <c r="AK432" s="45">
        <v>0</v>
      </c>
      <c r="AL432" s="52">
        <f t="shared" si="96"/>
        <v>0</v>
      </c>
      <c r="AM432" s="52">
        <f t="shared" si="98"/>
        <v>422284.07</v>
      </c>
      <c r="AN432" s="51">
        <f t="shared" si="99"/>
        <v>422284.07</v>
      </c>
      <c r="AO432" s="51">
        <f t="shared" si="97"/>
        <v>0</v>
      </c>
      <c r="AP432" s="125"/>
      <c r="AQ432" s="52"/>
      <c r="AR432" s="51"/>
      <c r="AS432" s="51">
        <f t="shared" si="95"/>
        <v>0</v>
      </c>
      <c r="AT432" s="126">
        <f t="shared" si="103"/>
        <v>5385.5200000000186</v>
      </c>
      <c r="AU432" s="48"/>
      <c r="AV432" s="46"/>
    </row>
    <row r="433" spans="1:54" ht="25.5" hidden="1" customHeight="1" x14ac:dyDescent="0.2">
      <c r="A433" s="151">
        <v>639</v>
      </c>
      <c r="B433" s="122" t="s">
        <v>185</v>
      </c>
      <c r="C433" s="116"/>
      <c r="D433" s="107">
        <v>258</v>
      </c>
      <c r="E433" s="46" t="s">
        <v>1708</v>
      </c>
      <c r="F433" s="46"/>
      <c r="G433" s="46"/>
      <c r="H433" s="33" t="s">
        <v>187</v>
      </c>
      <c r="I433" s="107">
        <v>6222</v>
      </c>
      <c r="J433" s="107"/>
      <c r="K433" s="39"/>
      <c r="L433" s="118" t="s">
        <v>1714</v>
      </c>
      <c r="M433" s="147" t="s">
        <v>1560</v>
      </c>
      <c r="N433" s="42" t="s">
        <v>76</v>
      </c>
      <c r="O433" s="148" t="s">
        <v>237</v>
      </c>
      <c r="P433" s="46" t="s">
        <v>434</v>
      </c>
      <c r="Q433" s="46" t="s">
        <v>675</v>
      </c>
      <c r="R433" s="258"/>
      <c r="S433" s="45">
        <f t="shared" si="105"/>
        <v>300000</v>
      </c>
      <c r="T433" s="45">
        <v>300000</v>
      </c>
      <c r="U433" s="45">
        <v>0</v>
      </c>
      <c r="V433" s="109" t="s">
        <v>1712</v>
      </c>
      <c r="W433" s="63">
        <v>41787</v>
      </c>
      <c r="X433" s="48"/>
      <c r="Y433" s="109" t="s">
        <v>234</v>
      </c>
      <c r="Z433" s="45"/>
      <c r="AA433" s="45"/>
      <c r="AB433" s="45">
        <f t="shared" si="104"/>
        <v>0</v>
      </c>
      <c r="AC433" s="48"/>
      <c r="AD433" s="63"/>
      <c r="AE433" s="51">
        <f t="shared" si="100"/>
        <v>0</v>
      </c>
      <c r="AF433" s="52">
        <f t="shared" si="101"/>
        <v>3777.820000000007</v>
      </c>
      <c r="AG433" s="52">
        <v>296222.18</v>
      </c>
      <c r="AH433" s="52">
        <v>296222.18</v>
      </c>
      <c r="AI433" s="52">
        <f t="shared" si="102"/>
        <v>0</v>
      </c>
      <c r="AJ433" s="124">
        <v>0</v>
      </c>
      <c r="AK433" s="45">
        <v>0</v>
      </c>
      <c r="AL433" s="52">
        <f t="shared" si="96"/>
        <v>0</v>
      </c>
      <c r="AM433" s="52">
        <f t="shared" si="98"/>
        <v>296222.18</v>
      </c>
      <c r="AN433" s="51">
        <f t="shared" si="99"/>
        <v>296222.18</v>
      </c>
      <c r="AO433" s="51">
        <f t="shared" si="97"/>
        <v>0</v>
      </c>
      <c r="AP433" s="125"/>
      <c r="AQ433" s="52"/>
      <c r="AR433" s="51"/>
      <c r="AS433" s="51">
        <f t="shared" si="95"/>
        <v>0</v>
      </c>
      <c r="AT433" s="126">
        <f t="shared" si="103"/>
        <v>3777.820000000007</v>
      </c>
      <c r="AU433" s="48"/>
      <c r="AV433" s="46"/>
    </row>
    <row r="434" spans="1:54" ht="32.450000000000003" hidden="1" customHeight="1" x14ac:dyDescent="0.2">
      <c r="A434" s="32">
        <v>636</v>
      </c>
      <c r="B434" s="122" t="s">
        <v>1715</v>
      </c>
      <c r="C434" s="116"/>
      <c r="D434" s="107">
        <v>1273</v>
      </c>
      <c r="E434" s="46" t="s">
        <v>1716</v>
      </c>
      <c r="F434" s="46"/>
      <c r="G434" s="46"/>
      <c r="H434" s="33" t="s">
        <v>1717</v>
      </c>
      <c r="I434" s="107">
        <v>6223</v>
      </c>
      <c r="J434" s="107"/>
      <c r="K434" s="39">
        <v>9</v>
      </c>
      <c r="L434" s="118" t="s">
        <v>1718</v>
      </c>
      <c r="M434" s="147" t="s">
        <v>117</v>
      </c>
      <c r="N434" s="117" t="s">
        <v>704</v>
      </c>
      <c r="O434" s="148" t="s">
        <v>118</v>
      </c>
      <c r="P434" s="46" t="s">
        <v>1420</v>
      </c>
      <c r="Q434" s="46" t="s">
        <v>1719</v>
      </c>
      <c r="R434" s="33" t="s">
        <v>1720</v>
      </c>
      <c r="S434" s="45">
        <f t="shared" si="105"/>
        <v>300000000</v>
      </c>
      <c r="T434" s="45">
        <v>297438461.52999997</v>
      </c>
      <c r="U434" s="45">
        <v>2561538.4700000002</v>
      </c>
      <c r="V434" s="109" t="s">
        <v>1721</v>
      </c>
      <c r="W434" s="63">
        <v>41970</v>
      </c>
      <c r="X434" s="48"/>
      <c r="Y434" s="109" t="s">
        <v>1390</v>
      </c>
      <c r="Z434" s="45">
        <v>2556154.11</v>
      </c>
      <c r="AA434" s="45">
        <f>6566.04+6566.04+5800+6566.04+6445.66+6566.04+6566.04+6566.04+2735.85+2735.85+5800+5800+5471.7+5800+6566.04+5800+5800+9028.3+5800+6566.04+2735.85+5800+5800+5471.7+9028.3+5800+5800+6566.04+6566.04+2735.85+5800+6566.04+6445.66+5800+6566.04+6566.04+6566.04+5800+5800+5800+5471.7+6566.04+6566.04+5800+5471.7+5800+6566.04+5800+5471.7+6566.04+6566.04+5800+6566.04+6566.04+5800+6566.04+7660.37+5800+5800+6566.04+9028.3+7660.37+7660.37+7660.37+5800+6566.04+6566.04+6566.04+5800+6566.04+6566.04+6566.04+5471.7+5800+6566.04+5800+5471.7+5800+6566.04+5800+5800+9028.3+6566.04+5471.7+6445.66+6445.66+2320+6148+2088+13282+1392+3155.2+16680.8+3480+10144.2+10943.39+11600+13132.08+13132.08+13132.08+11600+13132.08+11600+11600+11600+5471.7+5471.7+18066.61+5220+5220+5220+5220+6000+6000+13132.08+11600+12891.32+13132.08+5800+5800+2204+13132.08+15320.75+13132.07+13132.08+9280+20000+20000+20000+20000+20000+13132.08+4713.26+501.48+20000+20000+20000+20000+20000+10000+10000+10000+10000+10000+4917.19+11241.05+4441.76+6891.8-6891.8+10943.39+4567.5+23371.21+9581.94+18056.61+11600+13132.08+11600+11600+12891.32+13132.08+11600+13132.08+13132.08+13132.07+11600+13132.08+11600+15320.75+11600+10943.39+13132.08+13132.08+10943.39+5220+5220+10943.4+13132.08+5220+5220+6000+6000+36740.13+36644.4+61315.64+13920+9753.74+11344.8+20000+13132.08+11600+12891.32+6346.65+20366.7+15320.75+13132.08+18056.61+16994+10231.2+10277.6+1484.8+2320+4395.5+13132.08+11600+13132.08+13132.08+13132.08+10943.4+12891.32+13132.08+10943.39+13132.07+24997.48+24993.53+2250.01+13132.08+5800+11600+427000-427000+427000-427000+427000</f>
        <v>2531966.09</v>
      </c>
      <c r="AB434" s="45">
        <f t="shared" si="104"/>
        <v>24188.020000000019</v>
      </c>
      <c r="AC434" s="48" t="s">
        <v>93</v>
      </c>
      <c r="AD434" s="63">
        <v>42352</v>
      </c>
      <c r="AE434" s="51">
        <f t="shared" si="100"/>
        <v>5384.3600000003353</v>
      </c>
      <c r="AF434" s="52">
        <f t="shared" si="101"/>
        <v>924584.52999997139</v>
      </c>
      <c r="AG434" s="52">
        <v>296513877</v>
      </c>
      <c r="AH434" s="52">
        <f>148256938.51+128891916.5+19365021.99</f>
        <v>296513877</v>
      </c>
      <c r="AI434" s="52">
        <f t="shared" si="102"/>
        <v>0</v>
      </c>
      <c r="AJ434" s="124">
        <v>0</v>
      </c>
      <c r="AK434" s="45">
        <v>0</v>
      </c>
      <c r="AL434" s="52">
        <f t="shared" si="96"/>
        <v>0</v>
      </c>
      <c r="AM434" s="52">
        <f t="shared" si="98"/>
        <v>299070031.11000001</v>
      </c>
      <c r="AN434" s="51">
        <f t="shared" si="99"/>
        <v>299045843.08999997</v>
      </c>
      <c r="AO434" s="51">
        <f t="shared" si="97"/>
        <v>24188.020000040531</v>
      </c>
      <c r="AP434" s="125" t="s">
        <v>146</v>
      </c>
      <c r="AQ434" s="52">
        <v>127807705.61</v>
      </c>
      <c r="AR434" s="51">
        <f>111113721.12+16693984.49</f>
        <v>127807705.61</v>
      </c>
      <c r="AS434" s="51">
        <f t="shared" si="95"/>
        <v>0</v>
      </c>
      <c r="AT434" s="126">
        <f t="shared" si="103"/>
        <v>954156.91000002623</v>
      </c>
      <c r="AU434" s="48"/>
      <c r="AV434" s="46"/>
    </row>
    <row r="435" spans="1:54" ht="30" hidden="1" customHeight="1" x14ac:dyDescent="0.2">
      <c r="A435" s="151">
        <v>639</v>
      </c>
      <c r="B435" s="122" t="s">
        <v>1722</v>
      </c>
      <c r="C435" s="116"/>
      <c r="D435" s="107">
        <v>453</v>
      </c>
      <c r="E435" s="46" t="s">
        <v>1723</v>
      </c>
      <c r="F435" s="46"/>
      <c r="G435" s="46"/>
      <c r="H435" s="33" t="s">
        <v>764</v>
      </c>
      <c r="I435" s="107">
        <v>6222</v>
      </c>
      <c r="J435" s="107"/>
      <c r="K435" s="39">
        <v>2.2000000000000002</v>
      </c>
      <c r="L435" s="40" t="s">
        <v>765</v>
      </c>
      <c r="M435" s="147" t="s">
        <v>1560</v>
      </c>
      <c r="N435" s="42" t="s">
        <v>76</v>
      </c>
      <c r="O435" s="41" t="s">
        <v>77</v>
      </c>
      <c r="P435" s="46" t="s">
        <v>1724</v>
      </c>
      <c r="Q435" s="46" t="s">
        <v>1725</v>
      </c>
      <c r="R435" s="33" t="s">
        <v>1726</v>
      </c>
      <c r="S435" s="45">
        <f t="shared" si="105"/>
        <v>560803.04</v>
      </c>
      <c r="T435" s="45">
        <v>546665.15</v>
      </c>
      <c r="U435" s="45">
        <v>14137.89</v>
      </c>
      <c r="V435" s="109" t="s">
        <v>1727</v>
      </c>
      <c r="W435" s="63">
        <v>41920</v>
      </c>
      <c r="X435" s="48"/>
      <c r="Y435" s="109" t="s">
        <v>282</v>
      </c>
      <c r="Z435" s="45">
        <v>14137.89</v>
      </c>
      <c r="AA435" s="45"/>
      <c r="AB435" s="45">
        <f t="shared" si="104"/>
        <v>14137.89</v>
      </c>
      <c r="AC435" s="48"/>
      <c r="AD435" s="63"/>
      <c r="AE435" s="51">
        <f t="shared" si="100"/>
        <v>0</v>
      </c>
      <c r="AF435" s="52">
        <f t="shared" si="101"/>
        <v>-4492.1500000000233</v>
      </c>
      <c r="AG435" s="52">
        <v>551157.30000000005</v>
      </c>
      <c r="AH435" s="52">
        <v>546665.15</v>
      </c>
      <c r="AI435" s="52">
        <f t="shared" si="102"/>
        <v>4492.1500000000233</v>
      </c>
      <c r="AJ435" s="124">
        <v>0</v>
      </c>
      <c r="AK435" s="45">
        <v>0</v>
      </c>
      <c r="AL435" s="52">
        <f t="shared" si="96"/>
        <v>0</v>
      </c>
      <c r="AM435" s="52">
        <f t="shared" si="98"/>
        <v>565295.19000000006</v>
      </c>
      <c r="AN435" s="51">
        <f t="shared" si="99"/>
        <v>546665.15</v>
      </c>
      <c r="AO435" s="51">
        <f t="shared" si="97"/>
        <v>18630.040000000037</v>
      </c>
      <c r="AP435" s="125"/>
      <c r="AQ435" s="52"/>
      <c r="AR435" s="51"/>
      <c r="AS435" s="51">
        <f t="shared" si="95"/>
        <v>0</v>
      </c>
      <c r="AT435" s="51">
        <f t="shared" si="103"/>
        <v>14137.890000000014</v>
      </c>
      <c r="AU435" s="48"/>
      <c r="AV435" s="46"/>
    </row>
    <row r="436" spans="1:54" ht="20.25" hidden="1" customHeight="1" x14ac:dyDescent="0.2">
      <c r="A436" s="32">
        <v>636</v>
      </c>
      <c r="B436" s="94" t="s">
        <v>1728</v>
      </c>
      <c r="C436" s="116" t="s">
        <v>1729</v>
      </c>
      <c r="D436" s="107">
        <v>1275</v>
      </c>
      <c r="E436" s="256" t="s">
        <v>1730</v>
      </c>
      <c r="F436" s="82"/>
      <c r="G436" s="82">
        <v>1</v>
      </c>
      <c r="H436" s="67" t="s">
        <v>1166</v>
      </c>
      <c r="I436" s="158">
        <v>6131</v>
      </c>
      <c r="J436" s="107">
        <v>2</v>
      </c>
      <c r="K436" s="39">
        <v>6</v>
      </c>
      <c r="L436" s="152" t="s">
        <v>1122</v>
      </c>
      <c r="M436" s="153" t="s">
        <v>1123</v>
      </c>
      <c r="N436" s="42" t="s">
        <v>76</v>
      </c>
      <c r="O436" s="117" t="s">
        <v>88</v>
      </c>
      <c r="P436" s="67" t="s">
        <v>65</v>
      </c>
      <c r="Q436" s="67" t="s">
        <v>1731</v>
      </c>
      <c r="R436" s="253" t="s">
        <v>1732</v>
      </c>
      <c r="S436" s="52">
        <f t="shared" si="105"/>
        <v>446763.1</v>
      </c>
      <c r="T436" s="52">
        <v>446763.1</v>
      </c>
      <c r="U436" s="52">
        <v>0</v>
      </c>
      <c r="V436" s="109" t="s">
        <v>1733</v>
      </c>
      <c r="W436" s="154">
        <v>41978</v>
      </c>
      <c r="X436" s="109"/>
      <c r="Y436" s="109" t="s">
        <v>234</v>
      </c>
      <c r="Z436" s="155"/>
      <c r="AA436" s="155"/>
      <c r="AB436" s="45">
        <f t="shared" si="104"/>
        <v>0</v>
      </c>
      <c r="AC436" s="109"/>
      <c r="AD436" s="154"/>
      <c r="AE436" s="51">
        <f t="shared" si="100"/>
        <v>0</v>
      </c>
      <c r="AF436" s="52">
        <f t="shared" si="101"/>
        <v>276</v>
      </c>
      <c r="AG436" s="52">
        <v>446487.1</v>
      </c>
      <c r="AH436" s="52">
        <f>223243.55+223243.55</f>
        <v>446487.1</v>
      </c>
      <c r="AI436" s="52">
        <f t="shared" si="102"/>
        <v>0</v>
      </c>
      <c r="AJ436" s="163">
        <v>0</v>
      </c>
      <c r="AK436" s="52">
        <v>0</v>
      </c>
      <c r="AL436" s="52">
        <f t="shared" si="96"/>
        <v>0</v>
      </c>
      <c r="AM436" s="52">
        <f t="shared" si="98"/>
        <v>446487.1</v>
      </c>
      <c r="AN436" s="51">
        <f t="shared" si="99"/>
        <v>446487.1</v>
      </c>
      <c r="AO436" s="51">
        <f t="shared" si="97"/>
        <v>0</v>
      </c>
      <c r="AP436" s="125" t="s">
        <v>1296</v>
      </c>
      <c r="AQ436" s="52">
        <v>192451.34</v>
      </c>
      <c r="AR436" s="51">
        <v>192451.34</v>
      </c>
      <c r="AS436" s="51">
        <f t="shared" si="95"/>
        <v>0</v>
      </c>
      <c r="AT436" s="126">
        <f t="shared" si="103"/>
        <v>276</v>
      </c>
      <c r="AU436" s="109"/>
      <c r="AV436" s="67"/>
      <c r="AW436" s="4"/>
      <c r="AX436" s="4"/>
      <c r="AY436" s="4"/>
      <c r="AZ436" s="4"/>
      <c r="BA436" s="4"/>
      <c r="BB436" s="4"/>
    </row>
    <row r="437" spans="1:54" ht="20.25" hidden="1" customHeight="1" x14ac:dyDescent="0.2">
      <c r="A437" s="32">
        <v>636</v>
      </c>
      <c r="B437" s="94" t="s">
        <v>1728</v>
      </c>
      <c r="C437" s="116" t="s">
        <v>1729</v>
      </c>
      <c r="D437" s="107">
        <v>1276</v>
      </c>
      <c r="E437" s="258"/>
      <c r="F437" s="36"/>
      <c r="G437" s="36">
        <v>1</v>
      </c>
      <c r="H437" s="67" t="s">
        <v>60</v>
      </c>
      <c r="I437" s="158">
        <v>6131</v>
      </c>
      <c r="J437" s="107">
        <v>2</v>
      </c>
      <c r="K437" s="39">
        <v>2</v>
      </c>
      <c r="L437" s="157" t="s">
        <v>61</v>
      </c>
      <c r="M437" s="153" t="s">
        <v>1123</v>
      </c>
      <c r="N437" s="42" t="s">
        <v>76</v>
      </c>
      <c r="O437" s="117" t="s">
        <v>88</v>
      </c>
      <c r="P437" s="67" t="s">
        <v>65</v>
      </c>
      <c r="Q437" s="67" t="s">
        <v>1731</v>
      </c>
      <c r="R437" s="255"/>
      <c r="S437" s="52">
        <f t="shared" si="105"/>
        <v>446763.1</v>
      </c>
      <c r="T437" s="52">
        <v>446763.1</v>
      </c>
      <c r="U437" s="52">
        <v>0</v>
      </c>
      <c r="V437" s="109" t="s">
        <v>1733</v>
      </c>
      <c r="W437" s="154">
        <v>41978</v>
      </c>
      <c r="X437" s="109"/>
      <c r="Y437" s="109" t="s">
        <v>234</v>
      </c>
      <c r="Z437" s="155"/>
      <c r="AA437" s="155"/>
      <c r="AB437" s="45">
        <f t="shared" si="104"/>
        <v>0</v>
      </c>
      <c r="AC437" s="109"/>
      <c r="AD437" s="154"/>
      <c r="AE437" s="51">
        <f t="shared" si="100"/>
        <v>0</v>
      </c>
      <c r="AF437" s="52">
        <f t="shared" si="101"/>
        <v>276.00999999995111</v>
      </c>
      <c r="AG437" s="52">
        <v>446487.09</v>
      </c>
      <c r="AH437" s="52">
        <f>223243.55+223243.54</f>
        <v>446487.08999999997</v>
      </c>
      <c r="AI437" s="52">
        <f t="shared" si="102"/>
        <v>5.8207660913467407E-11</v>
      </c>
      <c r="AJ437" s="156">
        <v>0</v>
      </c>
      <c r="AK437" s="155">
        <v>0</v>
      </c>
      <c r="AL437" s="52">
        <f t="shared" si="96"/>
        <v>0</v>
      </c>
      <c r="AM437" s="52">
        <f t="shared" si="98"/>
        <v>446487.09</v>
      </c>
      <c r="AN437" s="51">
        <f t="shared" si="99"/>
        <v>446487.08999999997</v>
      </c>
      <c r="AO437" s="51">
        <f t="shared" si="97"/>
        <v>0</v>
      </c>
      <c r="AP437" s="125" t="s">
        <v>1296</v>
      </c>
      <c r="AQ437" s="52">
        <v>192451.33</v>
      </c>
      <c r="AR437" s="52">
        <v>192451.33</v>
      </c>
      <c r="AS437" s="51">
        <f t="shared" si="95"/>
        <v>0</v>
      </c>
      <c r="AT437" s="126">
        <f t="shared" si="103"/>
        <v>276.01000000000931</v>
      </c>
      <c r="AU437" s="109"/>
      <c r="AV437" s="67"/>
      <c r="AW437" s="4"/>
      <c r="AX437" s="4"/>
      <c r="AY437" s="4"/>
      <c r="AZ437" s="4"/>
      <c r="BA437" s="4"/>
      <c r="BB437" s="4"/>
    </row>
    <row r="438" spans="1:54" ht="20.25" hidden="1" customHeight="1" x14ac:dyDescent="0.2">
      <c r="A438" s="32">
        <v>636</v>
      </c>
      <c r="B438" s="94" t="s">
        <v>1734</v>
      </c>
      <c r="C438" s="116" t="s">
        <v>1735</v>
      </c>
      <c r="D438" s="107">
        <v>647</v>
      </c>
      <c r="E438" s="253" t="s">
        <v>1736</v>
      </c>
      <c r="F438" s="82"/>
      <c r="G438" s="82"/>
      <c r="H438" s="33" t="s">
        <v>1275</v>
      </c>
      <c r="I438" s="107">
        <v>6242</v>
      </c>
      <c r="J438" s="107">
        <v>1</v>
      </c>
      <c r="K438" s="39">
        <v>5</v>
      </c>
      <c r="L438" s="118" t="s">
        <v>1276</v>
      </c>
      <c r="M438" s="147" t="s">
        <v>108</v>
      </c>
      <c r="N438" s="42" t="s">
        <v>76</v>
      </c>
      <c r="O438" s="148" t="s">
        <v>88</v>
      </c>
      <c r="P438" s="46" t="s">
        <v>65</v>
      </c>
      <c r="Q438" s="46" t="s">
        <v>1659</v>
      </c>
      <c r="R438" s="256" t="s">
        <v>1737</v>
      </c>
      <c r="S438" s="45">
        <f t="shared" si="105"/>
        <v>6348066.3099999996</v>
      </c>
      <c r="T438" s="45">
        <f>6364019-15952.69</f>
        <v>6348066.3099999996</v>
      </c>
      <c r="U438" s="45">
        <v>0</v>
      </c>
      <c r="V438" s="109" t="s">
        <v>1655</v>
      </c>
      <c r="W438" s="63">
        <v>41977</v>
      </c>
      <c r="X438" s="48"/>
      <c r="Y438" s="109" t="s">
        <v>234</v>
      </c>
      <c r="Z438" s="45"/>
      <c r="AA438" s="45"/>
      <c r="AB438" s="45">
        <f t="shared" si="104"/>
        <v>0</v>
      </c>
      <c r="AC438" s="48"/>
      <c r="AD438" s="63"/>
      <c r="AE438" s="51">
        <f t="shared" si="100"/>
        <v>0</v>
      </c>
      <c r="AF438" s="52">
        <f t="shared" si="101"/>
        <v>0</v>
      </c>
      <c r="AG438" s="52">
        <v>6348066.3099999996</v>
      </c>
      <c r="AH438" s="52">
        <f>3174033.15+3174033.16</f>
        <v>6348066.3100000005</v>
      </c>
      <c r="AI438" s="52">
        <f t="shared" si="102"/>
        <v>-9.3132257461547852E-10</v>
      </c>
      <c r="AJ438" s="124">
        <v>0</v>
      </c>
      <c r="AK438" s="45">
        <v>0</v>
      </c>
      <c r="AL438" s="52">
        <f t="shared" si="96"/>
        <v>0</v>
      </c>
      <c r="AM438" s="52">
        <f t="shared" si="98"/>
        <v>6348066.3099999996</v>
      </c>
      <c r="AN438" s="51">
        <f t="shared" si="99"/>
        <v>6348066.3100000005</v>
      </c>
      <c r="AO438" s="51">
        <f t="shared" si="97"/>
        <v>0</v>
      </c>
      <c r="AP438" s="125" t="s">
        <v>934</v>
      </c>
      <c r="AQ438" s="52">
        <v>2736235.47</v>
      </c>
      <c r="AR438" s="51">
        <v>2736235.47</v>
      </c>
      <c r="AS438" s="51">
        <f t="shared" si="95"/>
        <v>0</v>
      </c>
      <c r="AT438" s="126">
        <f t="shared" si="103"/>
        <v>-9.3132257461547852E-10</v>
      </c>
      <c r="AU438" s="48"/>
      <c r="AV438" s="46"/>
    </row>
    <row r="439" spans="1:54" ht="20.25" hidden="1" customHeight="1" x14ac:dyDescent="0.2">
      <c r="A439" s="32">
        <v>636</v>
      </c>
      <c r="B439" s="48" t="s">
        <v>1734</v>
      </c>
      <c r="C439" s="116" t="s">
        <v>1735</v>
      </c>
      <c r="D439" s="107">
        <v>648</v>
      </c>
      <c r="E439" s="255"/>
      <c r="F439" s="36"/>
      <c r="G439" s="36"/>
      <c r="H439" s="33" t="s">
        <v>60</v>
      </c>
      <c r="I439" s="107">
        <v>6242</v>
      </c>
      <c r="J439" s="107">
        <v>1</v>
      </c>
      <c r="K439" s="39">
        <v>2</v>
      </c>
      <c r="L439" s="40" t="s">
        <v>61</v>
      </c>
      <c r="M439" s="147" t="s">
        <v>108</v>
      </c>
      <c r="N439" s="42" t="s">
        <v>76</v>
      </c>
      <c r="O439" s="148" t="s">
        <v>88</v>
      </c>
      <c r="P439" s="46" t="s">
        <v>65</v>
      </c>
      <c r="Q439" s="46" t="s">
        <v>1659</v>
      </c>
      <c r="R439" s="258"/>
      <c r="S439" s="45">
        <f t="shared" si="105"/>
        <v>4242679</v>
      </c>
      <c r="T439" s="45">
        <v>4242679</v>
      </c>
      <c r="U439" s="45">
        <v>0</v>
      </c>
      <c r="V439" s="109" t="s">
        <v>1655</v>
      </c>
      <c r="W439" s="63">
        <v>41977</v>
      </c>
      <c r="X439" s="48"/>
      <c r="Y439" s="109" t="s">
        <v>234</v>
      </c>
      <c r="Z439" s="45"/>
      <c r="AA439" s="45"/>
      <c r="AB439" s="45">
        <f t="shared" si="104"/>
        <v>0</v>
      </c>
      <c r="AC439" s="48"/>
      <c r="AD439" s="63"/>
      <c r="AE439" s="51">
        <f t="shared" si="100"/>
        <v>0</v>
      </c>
      <c r="AF439" s="52">
        <f t="shared" si="101"/>
        <v>10635.120000000112</v>
      </c>
      <c r="AG439" s="52">
        <v>4232043.88</v>
      </c>
      <c r="AH439" s="52">
        <f>2116021.95+2116021.93</f>
        <v>4232043.8800000008</v>
      </c>
      <c r="AI439" s="52">
        <f t="shared" si="102"/>
        <v>-9.3132257461547852E-10</v>
      </c>
      <c r="AJ439" s="124">
        <v>0</v>
      </c>
      <c r="AK439" s="45">
        <v>0</v>
      </c>
      <c r="AL439" s="52">
        <f t="shared" si="96"/>
        <v>0</v>
      </c>
      <c r="AM439" s="52">
        <f t="shared" si="98"/>
        <v>4232043.88</v>
      </c>
      <c r="AN439" s="51">
        <f t="shared" si="99"/>
        <v>4232043.8800000008</v>
      </c>
      <c r="AO439" s="51">
        <f t="shared" si="97"/>
        <v>0</v>
      </c>
      <c r="AP439" s="125" t="s">
        <v>934</v>
      </c>
      <c r="AQ439" s="52">
        <v>1824156.86</v>
      </c>
      <c r="AR439" s="51">
        <v>1824156.86</v>
      </c>
      <c r="AS439" s="51">
        <f t="shared" si="95"/>
        <v>0</v>
      </c>
      <c r="AT439" s="126">
        <f t="shared" si="103"/>
        <v>10635.11999999918</v>
      </c>
      <c r="AU439" s="48"/>
      <c r="AV439" s="46"/>
    </row>
    <row r="440" spans="1:54" ht="25.5" hidden="1" customHeight="1" x14ac:dyDescent="0.2">
      <c r="A440" s="151">
        <v>639</v>
      </c>
      <c r="B440" s="122" t="s">
        <v>1738</v>
      </c>
      <c r="C440" s="116"/>
      <c r="D440" s="107">
        <v>390</v>
      </c>
      <c r="E440" s="46" t="s">
        <v>1739</v>
      </c>
      <c r="F440" s="46"/>
      <c r="G440" s="46"/>
      <c r="H440" s="33" t="s">
        <v>209</v>
      </c>
      <c r="I440" s="107">
        <v>6222</v>
      </c>
      <c r="J440" s="107" t="s">
        <v>27</v>
      </c>
      <c r="K440" s="39">
        <v>2.2999999999999998</v>
      </c>
      <c r="L440" s="40" t="s">
        <v>210</v>
      </c>
      <c r="M440" s="147" t="s">
        <v>1560</v>
      </c>
      <c r="N440" s="42" t="s">
        <v>76</v>
      </c>
      <c r="O440" s="41" t="s">
        <v>77</v>
      </c>
      <c r="P440" s="46" t="s">
        <v>724</v>
      </c>
      <c r="Q440" s="46" t="s">
        <v>725</v>
      </c>
      <c r="R440" s="33" t="s">
        <v>1740</v>
      </c>
      <c r="S440" s="45">
        <f t="shared" si="105"/>
        <v>1114659.72</v>
      </c>
      <c r="T440" s="45">
        <v>1114659.72</v>
      </c>
      <c r="U440" s="45">
        <v>0</v>
      </c>
      <c r="V440" s="109" t="s">
        <v>677</v>
      </c>
      <c r="W440" s="63">
        <v>41870</v>
      </c>
      <c r="X440" s="48"/>
      <c r="Y440" s="109" t="s">
        <v>234</v>
      </c>
      <c r="Z440" s="45"/>
      <c r="AA440" s="45"/>
      <c r="AB440" s="45">
        <f t="shared" si="104"/>
        <v>0</v>
      </c>
      <c r="AC440" s="48"/>
      <c r="AD440" s="63"/>
      <c r="AE440" s="51">
        <f t="shared" si="100"/>
        <v>0</v>
      </c>
      <c r="AF440" s="52">
        <f t="shared" si="101"/>
        <v>6264.3000000000466</v>
      </c>
      <c r="AG440" s="52">
        <v>1108395.42</v>
      </c>
      <c r="AH440" s="52">
        <f>332518.63+250668.94</f>
        <v>583187.57000000007</v>
      </c>
      <c r="AI440" s="52">
        <f t="shared" si="102"/>
        <v>525207.84999999986</v>
      </c>
      <c r="AJ440" s="124">
        <v>0</v>
      </c>
      <c r="AK440" s="45">
        <v>0</v>
      </c>
      <c r="AL440" s="52">
        <f t="shared" si="96"/>
        <v>0</v>
      </c>
      <c r="AM440" s="52">
        <f t="shared" si="98"/>
        <v>1108395.42</v>
      </c>
      <c r="AN440" s="51">
        <f t="shared" si="99"/>
        <v>583187.57000000007</v>
      </c>
      <c r="AO440" s="51">
        <f t="shared" si="97"/>
        <v>525207.84999999986</v>
      </c>
      <c r="AP440" s="125" t="s">
        <v>1192</v>
      </c>
      <c r="AQ440" s="52">
        <v>286653.99</v>
      </c>
      <c r="AR440" s="51">
        <v>92611.67</v>
      </c>
      <c r="AS440" s="51">
        <f t="shared" si="95"/>
        <v>194042.32</v>
      </c>
      <c r="AT440" s="51">
        <f t="shared" si="103"/>
        <v>531472.14999999991</v>
      </c>
      <c r="AU440" s="48"/>
      <c r="AV440" s="46"/>
    </row>
    <row r="441" spans="1:54" ht="20.25" hidden="1" customHeight="1" x14ac:dyDescent="0.2">
      <c r="A441" s="32">
        <v>636</v>
      </c>
      <c r="B441" s="94" t="s">
        <v>1741</v>
      </c>
      <c r="C441" s="116" t="s">
        <v>1742</v>
      </c>
      <c r="D441" s="107">
        <v>1236</v>
      </c>
      <c r="E441" s="253" t="s">
        <v>1743</v>
      </c>
      <c r="F441" s="82"/>
      <c r="G441" s="82"/>
      <c r="H441" s="33" t="s">
        <v>1275</v>
      </c>
      <c r="I441" s="107">
        <v>6132</v>
      </c>
      <c r="J441" s="107">
        <v>1</v>
      </c>
      <c r="K441" s="39">
        <v>5</v>
      </c>
      <c r="L441" s="118" t="s">
        <v>1276</v>
      </c>
      <c r="M441" s="147" t="s">
        <v>250</v>
      </c>
      <c r="N441" s="42" t="s">
        <v>76</v>
      </c>
      <c r="O441" s="148" t="s">
        <v>252</v>
      </c>
      <c r="P441" s="46" t="s">
        <v>289</v>
      </c>
      <c r="Q441" s="46" t="s">
        <v>1676</v>
      </c>
      <c r="R441" s="257"/>
      <c r="S441" s="45">
        <f t="shared" si="105"/>
        <v>941537.59</v>
      </c>
      <c r="T441" s="45">
        <f>944215-2677.41</f>
        <v>941537.59</v>
      </c>
      <c r="U441" s="45">
        <v>0</v>
      </c>
      <c r="V441" s="109" t="s">
        <v>1677</v>
      </c>
      <c r="W441" s="63">
        <v>41992</v>
      </c>
      <c r="X441" s="48"/>
      <c r="Y441" s="109" t="s">
        <v>234</v>
      </c>
      <c r="Z441" s="45"/>
      <c r="AA441" s="45"/>
      <c r="AB441" s="45">
        <f t="shared" si="104"/>
        <v>0</v>
      </c>
      <c r="AC441" s="48"/>
      <c r="AD441" s="63"/>
      <c r="AE441" s="51">
        <f t="shared" si="100"/>
        <v>0</v>
      </c>
      <c r="AF441" s="52">
        <f t="shared" si="101"/>
        <v>0</v>
      </c>
      <c r="AG441" s="52">
        <v>941537.59</v>
      </c>
      <c r="AH441" s="52">
        <f>470768.79+470768.8</f>
        <v>941537.59</v>
      </c>
      <c r="AI441" s="52">
        <f t="shared" si="102"/>
        <v>0</v>
      </c>
      <c r="AJ441" s="124">
        <v>0</v>
      </c>
      <c r="AK441" s="45">
        <v>0</v>
      </c>
      <c r="AL441" s="52">
        <f t="shared" si="96"/>
        <v>0</v>
      </c>
      <c r="AM441" s="52">
        <f t="shared" si="98"/>
        <v>941537.59</v>
      </c>
      <c r="AN441" s="51">
        <f t="shared" si="99"/>
        <v>941537.59</v>
      </c>
      <c r="AO441" s="51">
        <f t="shared" si="97"/>
        <v>0</v>
      </c>
      <c r="AP441" s="125" t="s">
        <v>83</v>
      </c>
      <c r="AQ441" s="52">
        <v>405835.16</v>
      </c>
      <c r="AR441" s="52">
        <v>405835.16</v>
      </c>
      <c r="AS441" s="51">
        <f t="shared" ref="AS441:AS492" si="106">SUM(AQ441-AR441)</f>
        <v>0</v>
      </c>
      <c r="AT441" s="126">
        <f t="shared" si="103"/>
        <v>0</v>
      </c>
      <c r="AU441" s="48"/>
      <c r="AV441" s="46"/>
    </row>
    <row r="442" spans="1:54" ht="20.25" hidden="1" customHeight="1" x14ac:dyDescent="0.2">
      <c r="A442" s="32">
        <v>636</v>
      </c>
      <c r="B442" s="48" t="s">
        <v>1741</v>
      </c>
      <c r="C442" s="116" t="s">
        <v>1742</v>
      </c>
      <c r="D442" s="107">
        <v>1237</v>
      </c>
      <c r="E442" s="255"/>
      <c r="F442" s="36"/>
      <c r="G442" s="36"/>
      <c r="H442" s="33" t="s">
        <v>60</v>
      </c>
      <c r="I442" s="107">
        <v>6132</v>
      </c>
      <c r="J442" s="107">
        <v>1</v>
      </c>
      <c r="K442" s="39">
        <v>2</v>
      </c>
      <c r="L442" s="40" t="s">
        <v>61</v>
      </c>
      <c r="M442" s="147" t="s">
        <v>250</v>
      </c>
      <c r="N442" s="42" t="s">
        <v>76</v>
      </c>
      <c r="O442" s="148" t="s">
        <v>252</v>
      </c>
      <c r="P442" s="46" t="s">
        <v>289</v>
      </c>
      <c r="Q442" s="46" t="s">
        <v>1676</v>
      </c>
      <c r="R442" s="258"/>
      <c r="S442" s="45">
        <f t="shared" si="105"/>
        <v>629477</v>
      </c>
      <c r="T442" s="45">
        <v>629477</v>
      </c>
      <c r="U442" s="45">
        <v>0</v>
      </c>
      <c r="V442" s="109" t="s">
        <v>1677</v>
      </c>
      <c r="W442" s="63">
        <v>41992</v>
      </c>
      <c r="X442" s="48"/>
      <c r="Y442" s="109" t="s">
        <v>234</v>
      </c>
      <c r="Z442" s="45"/>
      <c r="AA442" s="45"/>
      <c r="AB442" s="45">
        <f t="shared" si="104"/>
        <v>0</v>
      </c>
      <c r="AC442" s="48"/>
      <c r="AD442" s="63"/>
      <c r="AE442" s="51">
        <f t="shared" si="100"/>
        <v>0</v>
      </c>
      <c r="AF442" s="52">
        <f t="shared" si="101"/>
        <v>1785.2800000000279</v>
      </c>
      <c r="AG442" s="52">
        <v>627691.72</v>
      </c>
      <c r="AH442" s="52">
        <f>313845.86+313845.86</f>
        <v>627691.72</v>
      </c>
      <c r="AI442" s="52">
        <f t="shared" si="102"/>
        <v>0</v>
      </c>
      <c r="AJ442" s="124">
        <v>0</v>
      </c>
      <c r="AK442" s="45">
        <v>0</v>
      </c>
      <c r="AL442" s="52">
        <f t="shared" si="96"/>
        <v>0</v>
      </c>
      <c r="AM442" s="52">
        <f t="shared" si="98"/>
        <v>627691.72</v>
      </c>
      <c r="AN442" s="51">
        <f t="shared" si="99"/>
        <v>627691.72</v>
      </c>
      <c r="AO442" s="51">
        <f t="shared" si="97"/>
        <v>0</v>
      </c>
      <c r="AP442" s="125" t="s">
        <v>83</v>
      </c>
      <c r="AQ442" s="52">
        <v>270556.78000000003</v>
      </c>
      <c r="AR442" s="52">
        <v>270556.78000000003</v>
      </c>
      <c r="AS442" s="51">
        <f t="shared" si="106"/>
        <v>0</v>
      </c>
      <c r="AT442" s="126">
        <f t="shared" si="103"/>
        <v>1785.2800000000279</v>
      </c>
      <c r="AU442" s="48"/>
      <c r="AV442" s="46"/>
    </row>
    <row r="443" spans="1:54" ht="32.25" hidden="1" customHeight="1" x14ac:dyDescent="0.2">
      <c r="A443" s="32">
        <v>636</v>
      </c>
      <c r="B443" s="122" t="s">
        <v>1744</v>
      </c>
      <c r="C443" s="116"/>
      <c r="D443" s="107">
        <v>1280</v>
      </c>
      <c r="E443" s="46" t="s">
        <v>1745</v>
      </c>
      <c r="F443" s="46"/>
      <c r="G443" s="46"/>
      <c r="H443" s="33" t="s">
        <v>1007</v>
      </c>
      <c r="I443" s="107">
        <v>6142</v>
      </c>
      <c r="J443" s="107"/>
      <c r="K443" s="39">
        <v>7</v>
      </c>
      <c r="L443" s="118" t="s">
        <v>1746</v>
      </c>
      <c r="M443" s="147" t="s">
        <v>108</v>
      </c>
      <c r="N443" s="42" t="s">
        <v>63</v>
      </c>
      <c r="O443" s="148" t="s">
        <v>88</v>
      </c>
      <c r="P443" s="46" t="s">
        <v>299</v>
      </c>
      <c r="Q443" s="46" t="s">
        <v>588</v>
      </c>
      <c r="R443" s="33" t="s">
        <v>1747</v>
      </c>
      <c r="S443" s="45">
        <f t="shared" si="105"/>
        <v>29959503.859999999</v>
      </c>
      <c r="T443" s="45">
        <f>24294787.79+5408908</f>
        <v>29703695.789999999</v>
      </c>
      <c r="U443" s="45">
        <f>209226.58+46581.49</f>
        <v>255808.06999999998</v>
      </c>
      <c r="V443" s="67" t="s">
        <v>1748</v>
      </c>
      <c r="W443" s="47" t="s">
        <v>1749</v>
      </c>
      <c r="X443" s="48"/>
      <c r="Y443" s="109" t="s">
        <v>1390</v>
      </c>
      <c r="Z443" s="45">
        <v>208834.42</v>
      </c>
      <c r="AA443" s="45">
        <f>50000+18056.61+13132.08+2380.76+13132.08+13132.08+2687.43+10943.39+13132.08+13132.08+11600+20000+5800</f>
        <v>187128.58999999997</v>
      </c>
      <c r="AB443" s="45">
        <f t="shared" si="104"/>
        <v>21705.830000000045</v>
      </c>
      <c r="AC443" s="48" t="s">
        <v>82</v>
      </c>
      <c r="AD443" s="63">
        <v>42198</v>
      </c>
      <c r="AE443" s="51">
        <f t="shared" si="100"/>
        <v>46973.649999999965</v>
      </c>
      <c r="AF443" s="52">
        <f t="shared" si="101"/>
        <v>5458019.7000000002</v>
      </c>
      <c r="AG443" s="52">
        <v>24224792.649999999</v>
      </c>
      <c r="AH443" s="52">
        <f>12112396.33+5062463.61+4100602.91+1497275.75</f>
        <v>22772738.600000001</v>
      </c>
      <c r="AI443" s="52">
        <f t="shared" si="102"/>
        <v>1452054.049999997</v>
      </c>
      <c r="AJ443" s="124">
        <v>20883.439999999999</v>
      </c>
      <c r="AK443" s="45">
        <f>8728.38+7070+2581.51</f>
        <v>18379.89</v>
      </c>
      <c r="AL443" s="52">
        <f t="shared" si="96"/>
        <v>2503.5499999999993</v>
      </c>
      <c r="AM443" s="52">
        <f t="shared" si="98"/>
        <v>24454510.510000002</v>
      </c>
      <c r="AN443" s="51">
        <f t="shared" si="99"/>
        <v>22978247.080000002</v>
      </c>
      <c r="AO443" s="51">
        <f t="shared" si="97"/>
        <v>1476263.4299999997</v>
      </c>
      <c r="AP443" s="125" t="s">
        <v>1750</v>
      </c>
      <c r="AQ443" s="52">
        <v>10441720.970000001</v>
      </c>
      <c r="AR443" s="51">
        <f>4364192.78+3535002.51+1290574.96</f>
        <v>9189770.25</v>
      </c>
      <c r="AS443" s="51">
        <f t="shared" si="106"/>
        <v>1251950.7200000007</v>
      </c>
      <c r="AT443" s="51">
        <f t="shared" si="103"/>
        <v>6981256.7799999975</v>
      </c>
      <c r="AU443" s="48"/>
      <c r="AV443" s="46"/>
    </row>
    <row r="444" spans="1:54" ht="33.75" hidden="1" customHeight="1" x14ac:dyDescent="0.2">
      <c r="A444" s="32">
        <v>636</v>
      </c>
      <c r="B444" s="122" t="s">
        <v>1751</v>
      </c>
      <c r="C444" s="116"/>
      <c r="D444" s="107">
        <v>1279</v>
      </c>
      <c r="E444" s="46" t="s">
        <v>1752</v>
      </c>
      <c r="F444" s="37" t="s">
        <v>59</v>
      </c>
      <c r="G444" s="46"/>
      <c r="H444" s="105"/>
      <c r="I444" s="107">
        <v>6223</v>
      </c>
      <c r="J444" s="107"/>
      <c r="K444" s="140">
        <v>1.2</v>
      </c>
      <c r="L444" s="118" t="s">
        <v>650</v>
      </c>
      <c r="M444" s="147" t="s">
        <v>117</v>
      </c>
      <c r="N444" s="42" t="s">
        <v>63</v>
      </c>
      <c r="O444" s="148" t="s">
        <v>118</v>
      </c>
      <c r="P444" s="46" t="s">
        <v>405</v>
      </c>
      <c r="Q444" s="46" t="s">
        <v>859</v>
      </c>
      <c r="R444" s="33" t="s">
        <v>1753</v>
      </c>
      <c r="S444" s="45">
        <f t="shared" si="105"/>
        <v>1065128.82</v>
      </c>
      <c r="T444" s="45">
        <f>1071421.98-6293.16</f>
        <v>1065128.82</v>
      </c>
      <c r="U444" s="45">
        <v>0</v>
      </c>
      <c r="V444" s="67" t="s">
        <v>1754</v>
      </c>
      <c r="W444" s="47" t="s">
        <v>1755</v>
      </c>
      <c r="X444" s="48"/>
      <c r="Y444" s="109" t="s">
        <v>234</v>
      </c>
      <c r="Z444" s="45"/>
      <c r="AA444" s="45"/>
      <c r="AB444" s="45">
        <f t="shared" si="104"/>
        <v>0</v>
      </c>
      <c r="AC444" s="48"/>
      <c r="AD444" s="63"/>
      <c r="AE444" s="51">
        <f t="shared" si="100"/>
        <v>0</v>
      </c>
      <c r="AF444" s="52">
        <f t="shared" si="101"/>
        <v>0</v>
      </c>
      <c r="AG444" s="52">
        <v>1065128.82</v>
      </c>
      <c r="AH444" s="52">
        <f>532564.41+468574.52+63989.89</f>
        <v>1065128.82</v>
      </c>
      <c r="AI444" s="52">
        <f t="shared" si="102"/>
        <v>0</v>
      </c>
      <c r="AJ444" s="124">
        <v>0</v>
      </c>
      <c r="AK444" s="45">
        <v>0</v>
      </c>
      <c r="AL444" s="52">
        <f t="shared" si="96"/>
        <v>0</v>
      </c>
      <c r="AM444" s="52">
        <f t="shared" si="98"/>
        <v>1065128.82</v>
      </c>
      <c r="AN444" s="51">
        <f t="shared" si="99"/>
        <v>1065128.82</v>
      </c>
      <c r="AO444" s="51">
        <f t="shared" si="97"/>
        <v>0</v>
      </c>
      <c r="AP444" s="125" t="s">
        <v>83</v>
      </c>
      <c r="AQ444" s="52">
        <v>459107.25</v>
      </c>
      <c r="AR444" s="51">
        <f>403943.54+55163.71</f>
        <v>459107.25</v>
      </c>
      <c r="AS444" s="51">
        <f t="shared" si="106"/>
        <v>0</v>
      </c>
      <c r="AT444" s="126">
        <f t="shared" si="103"/>
        <v>0</v>
      </c>
      <c r="AU444" s="48"/>
      <c r="AV444" s="46"/>
    </row>
    <row r="445" spans="1:54" ht="33.75" hidden="1" customHeight="1" x14ac:dyDescent="0.2">
      <c r="A445" s="32">
        <v>636</v>
      </c>
      <c r="B445" s="122" t="s">
        <v>1756</v>
      </c>
      <c r="C445" s="116"/>
      <c r="D445" s="107">
        <v>1278</v>
      </c>
      <c r="E445" s="46" t="s">
        <v>1757</v>
      </c>
      <c r="F445" s="37" t="s">
        <v>59</v>
      </c>
      <c r="G445" s="46"/>
      <c r="H445" s="105"/>
      <c r="I445" s="107">
        <v>6223</v>
      </c>
      <c r="J445" s="107"/>
      <c r="K445" s="140">
        <v>1.2</v>
      </c>
      <c r="L445" s="118" t="s">
        <v>650</v>
      </c>
      <c r="M445" s="147" t="s">
        <v>117</v>
      </c>
      <c r="N445" s="42" t="s">
        <v>63</v>
      </c>
      <c r="O445" s="148" t="s">
        <v>118</v>
      </c>
      <c r="P445" s="46" t="s">
        <v>404</v>
      </c>
      <c r="Q445" s="46" t="s">
        <v>1758</v>
      </c>
      <c r="R445" s="33" t="s">
        <v>1759</v>
      </c>
      <c r="S445" s="45">
        <f t="shared" si="105"/>
        <v>1319171.92</v>
      </c>
      <c r="T445" s="45">
        <f>1332439.14-13267.22</f>
        <v>1319171.92</v>
      </c>
      <c r="U445" s="45">
        <v>0</v>
      </c>
      <c r="V445" s="67" t="s">
        <v>1754</v>
      </c>
      <c r="W445" s="47" t="s">
        <v>1755</v>
      </c>
      <c r="X445" s="48"/>
      <c r="Y445" s="109" t="s">
        <v>234</v>
      </c>
      <c r="Z445" s="45"/>
      <c r="AA445" s="45"/>
      <c r="AB445" s="45">
        <f t="shared" si="104"/>
        <v>0</v>
      </c>
      <c r="AC445" s="48"/>
      <c r="AD445" s="63"/>
      <c r="AE445" s="51">
        <f t="shared" si="100"/>
        <v>0</v>
      </c>
      <c r="AF445" s="52">
        <f t="shared" si="101"/>
        <v>0</v>
      </c>
      <c r="AG445" s="52">
        <v>1319171.92</v>
      </c>
      <c r="AH445" s="52">
        <f>659585.96+310114.17+206754.02+142717.77</f>
        <v>1319171.92</v>
      </c>
      <c r="AI445" s="52">
        <f t="shared" si="102"/>
        <v>0</v>
      </c>
      <c r="AJ445" s="124">
        <v>0</v>
      </c>
      <c r="AK445" s="45">
        <v>0</v>
      </c>
      <c r="AL445" s="52">
        <f t="shared" si="96"/>
        <v>0</v>
      </c>
      <c r="AM445" s="52">
        <f t="shared" si="98"/>
        <v>1319171.92</v>
      </c>
      <c r="AN445" s="51">
        <f t="shared" si="99"/>
        <v>1319171.92</v>
      </c>
      <c r="AO445" s="51">
        <f t="shared" si="97"/>
        <v>0</v>
      </c>
      <c r="AP445" s="125" t="s">
        <v>71</v>
      </c>
      <c r="AQ445" s="52">
        <v>568608.59</v>
      </c>
      <c r="AR445" s="51">
        <f>267339.8+178236.22+123032.57</f>
        <v>568608.59000000008</v>
      </c>
      <c r="AS445" s="51">
        <f t="shared" si="106"/>
        <v>-1.1641532182693481E-10</v>
      </c>
      <c r="AT445" s="126">
        <f t="shared" si="103"/>
        <v>0</v>
      </c>
      <c r="AU445" s="48"/>
      <c r="AV445" s="46"/>
    </row>
    <row r="446" spans="1:54" ht="24" hidden="1" customHeight="1" x14ac:dyDescent="0.2">
      <c r="A446" s="32">
        <v>636</v>
      </c>
      <c r="B446" s="122" t="s">
        <v>1760</v>
      </c>
      <c r="C446" s="116"/>
      <c r="D446" s="107">
        <v>1277</v>
      </c>
      <c r="E446" s="46" t="s">
        <v>1761</v>
      </c>
      <c r="F446" s="37" t="s">
        <v>59</v>
      </c>
      <c r="G446" s="46"/>
      <c r="H446" s="105"/>
      <c r="I446" s="107">
        <v>6223</v>
      </c>
      <c r="J446" s="107"/>
      <c r="K446" s="140">
        <v>1.2</v>
      </c>
      <c r="L446" s="118" t="s">
        <v>650</v>
      </c>
      <c r="M446" s="147" t="s">
        <v>117</v>
      </c>
      <c r="N446" s="42" t="s">
        <v>63</v>
      </c>
      <c r="O446" s="148" t="s">
        <v>118</v>
      </c>
      <c r="P446" s="46" t="s">
        <v>206</v>
      </c>
      <c r="Q446" s="46" t="s">
        <v>766</v>
      </c>
      <c r="R446" s="33" t="s">
        <v>1762</v>
      </c>
      <c r="S446" s="45">
        <f t="shared" si="105"/>
        <v>2546128.3200000003</v>
      </c>
      <c r="T446" s="45">
        <f>2564193.2-18064.88</f>
        <v>2546128.3200000003</v>
      </c>
      <c r="U446" s="45">
        <v>0</v>
      </c>
      <c r="V446" s="67" t="s">
        <v>1763</v>
      </c>
      <c r="W446" s="47" t="s">
        <v>1764</v>
      </c>
      <c r="X446" s="48"/>
      <c r="Y446" s="109" t="s">
        <v>234</v>
      </c>
      <c r="Z446" s="45"/>
      <c r="AA446" s="45"/>
      <c r="AB446" s="45">
        <f t="shared" si="104"/>
        <v>0</v>
      </c>
      <c r="AC446" s="48"/>
      <c r="AD446" s="63"/>
      <c r="AE446" s="51">
        <f t="shared" si="100"/>
        <v>0</v>
      </c>
      <c r="AF446" s="52">
        <f t="shared" si="101"/>
        <v>4.6566128730773926E-10</v>
      </c>
      <c r="AG446" s="52">
        <v>2546128.3199999998</v>
      </c>
      <c r="AH446" s="52">
        <f>1273064.17+635075.84+317937.16+64830.94+255220.21</f>
        <v>2546128.3199999998</v>
      </c>
      <c r="AI446" s="52">
        <f t="shared" si="102"/>
        <v>0</v>
      </c>
      <c r="AJ446" s="124">
        <v>0</v>
      </c>
      <c r="AK446" s="45">
        <v>0</v>
      </c>
      <c r="AL446" s="52">
        <f t="shared" si="96"/>
        <v>0</v>
      </c>
      <c r="AM446" s="52">
        <f t="shared" si="98"/>
        <v>2546128.3199999998</v>
      </c>
      <c r="AN446" s="51">
        <f t="shared" si="99"/>
        <v>2546128.3199999998</v>
      </c>
      <c r="AO446" s="51">
        <f t="shared" si="97"/>
        <v>0</v>
      </c>
      <c r="AP446" s="125" t="s">
        <v>1192</v>
      </c>
      <c r="AQ446" s="52">
        <v>1097469.1100000001</v>
      </c>
      <c r="AR446" s="51">
        <f>547479.17+274083.77+275906.17</f>
        <v>1097469.1100000001</v>
      </c>
      <c r="AS446" s="51">
        <f t="shared" si="106"/>
        <v>0</v>
      </c>
      <c r="AT446" s="126">
        <f t="shared" si="103"/>
        <v>4.6566128730773926E-10</v>
      </c>
      <c r="AU446" s="48"/>
      <c r="AV446" s="46"/>
    </row>
    <row r="447" spans="1:54" ht="24.6" hidden="1" customHeight="1" x14ac:dyDescent="0.2">
      <c r="A447" s="32">
        <v>636</v>
      </c>
      <c r="B447" s="122" t="s">
        <v>1765</v>
      </c>
      <c r="C447" s="116"/>
      <c r="D447" s="107">
        <v>446</v>
      </c>
      <c r="E447" s="46" t="s">
        <v>1766</v>
      </c>
      <c r="F447" s="46"/>
      <c r="G447" s="46"/>
      <c r="H447" s="105"/>
      <c r="I447" s="107">
        <v>6223</v>
      </c>
      <c r="J447" s="107"/>
      <c r="K447" s="140">
        <v>1.2</v>
      </c>
      <c r="L447" s="118" t="s">
        <v>650</v>
      </c>
      <c r="M447" s="147" t="s">
        <v>117</v>
      </c>
      <c r="N447" s="42" t="s">
        <v>63</v>
      </c>
      <c r="O447" s="148" t="s">
        <v>118</v>
      </c>
      <c r="P447" s="46" t="s">
        <v>104</v>
      </c>
      <c r="Q447" s="46" t="s">
        <v>1767</v>
      </c>
      <c r="R447" s="33" t="s">
        <v>1768</v>
      </c>
      <c r="S447" s="45">
        <f t="shared" si="105"/>
        <v>2538283.2599999998</v>
      </c>
      <c r="T447" s="45">
        <v>2538283.2599999998</v>
      </c>
      <c r="U447" s="45">
        <v>0</v>
      </c>
      <c r="V447" s="67" t="s">
        <v>1769</v>
      </c>
      <c r="W447" s="47" t="s">
        <v>1770</v>
      </c>
      <c r="X447" s="48"/>
      <c r="Y447" s="109" t="s">
        <v>234</v>
      </c>
      <c r="Z447" s="45"/>
      <c r="AA447" s="45"/>
      <c r="AB447" s="45">
        <f t="shared" si="104"/>
        <v>0</v>
      </c>
      <c r="AC447" s="48"/>
      <c r="AD447" s="63"/>
      <c r="AE447" s="51">
        <f t="shared" si="100"/>
        <v>0</v>
      </c>
      <c r="AF447" s="52">
        <f t="shared" si="101"/>
        <v>17905.05999999959</v>
      </c>
      <c r="AG447" s="52">
        <v>2520378.2000000002</v>
      </c>
      <c r="AH447" s="52">
        <f>1260189.11+588838.3+313851.94+176500.82</f>
        <v>2339380.17</v>
      </c>
      <c r="AI447" s="52">
        <f t="shared" si="102"/>
        <v>180998.03000000026</v>
      </c>
      <c r="AJ447" s="124">
        <v>0</v>
      </c>
      <c r="AK447" s="45">
        <v>0</v>
      </c>
      <c r="AL447" s="52">
        <f t="shared" si="96"/>
        <v>0</v>
      </c>
      <c r="AM447" s="52">
        <f t="shared" si="98"/>
        <v>2520378.2000000002</v>
      </c>
      <c r="AN447" s="51">
        <f t="shared" si="99"/>
        <v>2339380.17</v>
      </c>
      <c r="AO447" s="51">
        <f t="shared" si="97"/>
        <v>180998.03000000026</v>
      </c>
      <c r="AP447" s="125" t="s">
        <v>344</v>
      </c>
      <c r="AQ447" s="52">
        <v>1086369.92</v>
      </c>
      <c r="AR447" s="51">
        <f>507619.22+270562.02+308188.68</f>
        <v>1086369.92</v>
      </c>
      <c r="AS447" s="51">
        <f t="shared" si="106"/>
        <v>0</v>
      </c>
      <c r="AT447" s="51">
        <f t="shared" si="103"/>
        <v>198903.08999999985</v>
      </c>
      <c r="AU447" s="48"/>
      <c r="AV447" s="46"/>
    </row>
    <row r="448" spans="1:54" ht="32.25" hidden="1" customHeight="1" x14ac:dyDescent="0.2">
      <c r="A448" s="64">
        <v>6411</v>
      </c>
      <c r="B448" s="147" t="s">
        <v>1015</v>
      </c>
      <c r="C448" s="116"/>
      <c r="D448" s="107"/>
      <c r="E448" s="46" t="s">
        <v>1771</v>
      </c>
      <c r="F448" s="37" t="s">
        <v>59</v>
      </c>
      <c r="G448" s="46"/>
      <c r="H448" s="105"/>
      <c r="I448" s="107">
        <v>6229</v>
      </c>
      <c r="J448" s="107"/>
      <c r="K448" s="39"/>
      <c r="L448" s="118" t="s">
        <v>1015</v>
      </c>
      <c r="M448" s="147" t="s">
        <v>138</v>
      </c>
      <c r="N448" s="117" t="s">
        <v>139</v>
      </c>
      <c r="O448" s="148"/>
      <c r="P448" s="46" t="s">
        <v>289</v>
      </c>
      <c r="Q448" s="46" t="s">
        <v>1017</v>
      </c>
      <c r="R448" s="33" t="s">
        <v>1772</v>
      </c>
      <c r="S448" s="45">
        <f t="shared" si="105"/>
        <v>1454458.79</v>
      </c>
      <c r="T448" s="45">
        <f>1485750-31291.21</f>
        <v>1454458.79</v>
      </c>
      <c r="U448" s="45">
        <v>0</v>
      </c>
      <c r="V448" s="67" t="s">
        <v>1773</v>
      </c>
      <c r="W448" s="63">
        <v>41906</v>
      </c>
      <c r="X448" s="48"/>
      <c r="Y448" s="109" t="s">
        <v>234</v>
      </c>
      <c r="Z448" s="45"/>
      <c r="AA448" s="45"/>
      <c r="AB448" s="45">
        <f t="shared" si="104"/>
        <v>0</v>
      </c>
      <c r="AC448" s="48"/>
      <c r="AD448" s="63"/>
      <c r="AE448" s="51">
        <f t="shared" si="100"/>
        <v>0</v>
      </c>
      <c r="AF448" s="52">
        <f t="shared" si="101"/>
        <v>0</v>
      </c>
      <c r="AG448" s="52">
        <f>1454458.8-0.01</f>
        <v>1454458.79</v>
      </c>
      <c r="AH448" s="52">
        <f>436337.64+1018121.15</f>
        <v>1454458.79</v>
      </c>
      <c r="AI448" s="52">
        <f t="shared" si="102"/>
        <v>0</v>
      </c>
      <c r="AJ448" s="124">
        <v>0</v>
      </c>
      <c r="AK448" s="45">
        <v>0</v>
      </c>
      <c r="AL448" s="52">
        <f t="shared" ref="AL448:AL506" si="107">+AJ448-AK448</f>
        <v>0</v>
      </c>
      <c r="AM448" s="52">
        <f t="shared" si="98"/>
        <v>1454458.79</v>
      </c>
      <c r="AN448" s="51">
        <f t="shared" si="99"/>
        <v>1454458.79</v>
      </c>
      <c r="AO448" s="51">
        <f t="shared" ref="AO448:AO506" si="108">+AM448-AN448</f>
        <v>0</v>
      </c>
      <c r="AP448" s="125" t="s">
        <v>872</v>
      </c>
      <c r="AQ448" s="52">
        <v>376153.14</v>
      </c>
      <c r="AR448" s="51">
        <v>376153.14</v>
      </c>
      <c r="AS448" s="51">
        <f t="shared" si="106"/>
        <v>0</v>
      </c>
      <c r="AT448" s="126">
        <f t="shared" si="103"/>
        <v>0</v>
      </c>
      <c r="AU448" s="48"/>
      <c r="AV448" s="46"/>
    </row>
    <row r="449" spans="1:48" ht="20.25" hidden="1" customHeight="1" x14ac:dyDescent="0.2">
      <c r="A449" s="32">
        <v>636</v>
      </c>
      <c r="B449" s="94" t="s">
        <v>1774</v>
      </c>
      <c r="C449" s="116" t="s">
        <v>1775</v>
      </c>
      <c r="D449" s="107">
        <v>1258</v>
      </c>
      <c r="E449" s="253" t="s">
        <v>1776</v>
      </c>
      <c r="F449" s="82"/>
      <c r="G449" s="82"/>
      <c r="H449" s="33" t="s">
        <v>1275</v>
      </c>
      <c r="I449" s="107">
        <v>6242</v>
      </c>
      <c r="J449" s="107">
        <v>1</v>
      </c>
      <c r="K449" s="39">
        <v>5</v>
      </c>
      <c r="L449" s="118" t="s">
        <v>1276</v>
      </c>
      <c r="M449" s="147" t="s">
        <v>108</v>
      </c>
      <c r="N449" s="42" t="s">
        <v>63</v>
      </c>
      <c r="O449" s="148" t="s">
        <v>88</v>
      </c>
      <c r="P449" s="46" t="s">
        <v>331</v>
      </c>
      <c r="Q449" s="46" t="s">
        <v>1777</v>
      </c>
      <c r="R449" s="256" t="s">
        <v>1778</v>
      </c>
      <c r="S449" s="45">
        <f t="shared" si="105"/>
        <v>226035.99</v>
      </c>
      <c r="T449" s="45">
        <f>226922-886.01</f>
        <v>226035.99</v>
      </c>
      <c r="U449" s="45">
        <v>0</v>
      </c>
      <c r="V449" s="109" t="s">
        <v>1643</v>
      </c>
      <c r="W449" s="63">
        <v>41977</v>
      </c>
      <c r="X449" s="48"/>
      <c r="Y449" s="109" t="s">
        <v>234</v>
      </c>
      <c r="Z449" s="45"/>
      <c r="AA449" s="45"/>
      <c r="AB449" s="45">
        <f t="shared" si="104"/>
        <v>0</v>
      </c>
      <c r="AC449" s="48"/>
      <c r="AD449" s="63"/>
      <c r="AE449" s="51">
        <f t="shared" si="100"/>
        <v>0</v>
      </c>
      <c r="AF449" s="52">
        <f t="shared" si="101"/>
        <v>0</v>
      </c>
      <c r="AG449" s="52">
        <v>226035.99</v>
      </c>
      <c r="AH449" s="52">
        <f>113018+113017.99</f>
        <v>226035.99</v>
      </c>
      <c r="AI449" s="52">
        <f t="shared" si="102"/>
        <v>0</v>
      </c>
      <c r="AJ449" s="124">
        <v>0</v>
      </c>
      <c r="AK449" s="45">
        <v>0</v>
      </c>
      <c r="AL449" s="52">
        <f t="shared" si="107"/>
        <v>0</v>
      </c>
      <c r="AM449" s="52">
        <f t="shared" si="98"/>
        <v>226035.99</v>
      </c>
      <c r="AN449" s="51">
        <f t="shared" si="99"/>
        <v>226035.99</v>
      </c>
      <c r="AO449" s="51">
        <f t="shared" si="108"/>
        <v>0</v>
      </c>
      <c r="AP449" s="125"/>
      <c r="AQ449" s="52">
        <v>97429.31</v>
      </c>
      <c r="AR449" s="51">
        <v>97429.31</v>
      </c>
      <c r="AS449" s="51">
        <f t="shared" si="106"/>
        <v>0</v>
      </c>
      <c r="AT449" s="126">
        <f t="shared" si="103"/>
        <v>0</v>
      </c>
      <c r="AU449" s="48"/>
      <c r="AV449" s="46"/>
    </row>
    <row r="450" spans="1:48" ht="20.25" hidden="1" customHeight="1" x14ac:dyDescent="0.2">
      <c r="A450" s="32">
        <v>636</v>
      </c>
      <c r="B450" s="94" t="s">
        <v>1774</v>
      </c>
      <c r="C450" s="116" t="s">
        <v>1775</v>
      </c>
      <c r="D450" s="107">
        <v>1259</v>
      </c>
      <c r="E450" s="255"/>
      <c r="F450" s="36"/>
      <c r="G450" s="36"/>
      <c r="H450" s="33" t="s">
        <v>60</v>
      </c>
      <c r="I450" s="107">
        <v>6242</v>
      </c>
      <c r="J450" s="107">
        <v>1</v>
      </c>
      <c r="K450" s="39">
        <v>2</v>
      </c>
      <c r="L450" s="40" t="s">
        <v>61</v>
      </c>
      <c r="M450" s="147" t="s">
        <v>108</v>
      </c>
      <c r="N450" s="42" t="s">
        <v>63</v>
      </c>
      <c r="O450" s="148" t="s">
        <v>88</v>
      </c>
      <c r="P450" s="46" t="s">
        <v>331</v>
      </c>
      <c r="Q450" s="46" t="s">
        <v>1777</v>
      </c>
      <c r="R450" s="257"/>
      <c r="S450" s="45">
        <f t="shared" si="105"/>
        <v>151282</v>
      </c>
      <c r="T450" s="45">
        <v>151282</v>
      </c>
      <c r="U450" s="45">
        <v>0</v>
      </c>
      <c r="V450" s="109" t="s">
        <v>1643</v>
      </c>
      <c r="W450" s="63">
        <v>41977</v>
      </c>
      <c r="X450" s="48"/>
      <c r="Y450" s="109" t="s">
        <v>234</v>
      </c>
      <c r="Z450" s="45"/>
      <c r="AA450" s="45"/>
      <c r="AB450" s="45">
        <f t="shared" si="104"/>
        <v>0</v>
      </c>
      <c r="AC450" s="48"/>
      <c r="AD450" s="63"/>
      <c r="AE450" s="51">
        <f t="shared" si="100"/>
        <v>0</v>
      </c>
      <c r="AF450" s="52">
        <f t="shared" si="101"/>
        <v>591.33999999999651</v>
      </c>
      <c r="AG450" s="52">
        <v>150690.66</v>
      </c>
      <c r="AH450" s="52">
        <f>75345.33+75345.33</f>
        <v>150690.66</v>
      </c>
      <c r="AI450" s="52">
        <f t="shared" si="102"/>
        <v>0</v>
      </c>
      <c r="AJ450" s="124">
        <v>0</v>
      </c>
      <c r="AK450" s="45">
        <v>0</v>
      </c>
      <c r="AL450" s="52">
        <f t="shared" si="107"/>
        <v>0</v>
      </c>
      <c r="AM450" s="52">
        <f t="shared" si="98"/>
        <v>150690.66</v>
      </c>
      <c r="AN450" s="51">
        <f t="shared" si="99"/>
        <v>150690.66</v>
      </c>
      <c r="AO450" s="51">
        <f t="shared" si="108"/>
        <v>0</v>
      </c>
      <c r="AP450" s="125"/>
      <c r="AQ450" s="52">
        <v>64952.87</v>
      </c>
      <c r="AR450" s="51">
        <v>64952.87</v>
      </c>
      <c r="AS450" s="51">
        <f t="shared" si="106"/>
        <v>0</v>
      </c>
      <c r="AT450" s="51">
        <f t="shared" si="103"/>
        <v>591.33999999999651</v>
      </c>
      <c r="AU450" s="48"/>
      <c r="AV450" s="46"/>
    </row>
    <row r="451" spans="1:48" ht="20.25" hidden="1" customHeight="1" x14ac:dyDescent="0.2">
      <c r="A451" s="32">
        <v>636</v>
      </c>
      <c r="B451" s="94" t="s">
        <v>1779</v>
      </c>
      <c r="C451" s="116" t="s">
        <v>1780</v>
      </c>
      <c r="D451" s="107">
        <v>1240</v>
      </c>
      <c r="E451" s="253" t="s">
        <v>1781</v>
      </c>
      <c r="F451" s="82"/>
      <c r="G451" s="82"/>
      <c r="H451" s="33" t="s">
        <v>1275</v>
      </c>
      <c r="I451" s="107">
        <v>6242</v>
      </c>
      <c r="J451" s="107">
        <v>1</v>
      </c>
      <c r="K451" s="39">
        <v>5</v>
      </c>
      <c r="L451" s="118" t="s">
        <v>1276</v>
      </c>
      <c r="M451" s="147" t="s">
        <v>108</v>
      </c>
      <c r="N451" s="42" t="s">
        <v>63</v>
      </c>
      <c r="O451" s="148" t="s">
        <v>88</v>
      </c>
      <c r="P451" s="46" t="s">
        <v>331</v>
      </c>
      <c r="Q451" s="46" t="s">
        <v>1777</v>
      </c>
      <c r="R451" s="257"/>
      <c r="S451" s="45">
        <f t="shared" si="105"/>
        <v>138823.13</v>
      </c>
      <c r="T451" s="45">
        <f>140015-1191.87</f>
        <v>138823.13</v>
      </c>
      <c r="U451" s="45">
        <v>0</v>
      </c>
      <c r="V451" s="109" t="s">
        <v>1643</v>
      </c>
      <c r="W451" s="63">
        <v>41977</v>
      </c>
      <c r="X451" s="48"/>
      <c r="Y451" s="109" t="s">
        <v>234</v>
      </c>
      <c r="Z451" s="45"/>
      <c r="AA451" s="45"/>
      <c r="AB451" s="45">
        <f t="shared" si="104"/>
        <v>0</v>
      </c>
      <c r="AC451" s="48"/>
      <c r="AD451" s="63"/>
      <c r="AE451" s="51">
        <f t="shared" si="100"/>
        <v>0</v>
      </c>
      <c r="AF451" s="52">
        <f t="shared" si="101"/>
        <v>0</v>
      </c>
      <c r="AG451" s="52">
        <v>138823.13</v>
      </c>
      <c r="AH451" s="52">
        <f>69411.56+69411.57</f>
        <v>138823.13</v>
      </c>
      <c r="AI451" s="52">
        <f t="shared" si="102"/>
        <v>0</v>
      </c>
      <c r="AJ451" s="124">
        <v>0</v>
      </c>
      <c r="AK451" s="45">
        <v>0</v>
      </c>
      <c r="AL451" s="52">
        <f t="shared" si="107"/>
        <v>0</v>
      </c>
      <c r="AM451" s="52">
        <f t="shared" si="98"/>
        <v>138823.13</v>
      </c>
      <c r="AN451" s="51">
        <f t="shared" si="99"/>
        <v>138823.13</v>
      </c>
      <c r="AO451" s="51">
        <f t="shared" si="108"/>
        <v>0</v>
      </c>
      <c r="AP451" s="125"/>
      <c r="AQ451" s="52">
        <v>59837.56</v>
      </c>
      <c r="AR451" s="51">
        <v>59837.56</v>
      </c>
      <c r="AS451" s="51">
        <f t="shared" si="106"/>
        <v>0</v>
      </c>
      <c r="AT451" s="126">
        <f t="shared" si="103"/>
        <v>0</v>
      </c>
      <c r="AU451" s="48"/>
      <c r="AV451" s="46"/>
    </row>
    <row r="452" spans="1:48" ht="24.75" hidden="1" customHeight="1" x14ac:dyDescent="0.2">
      <c r="A452" s="32">
        <v>636</v>
      </c>
      <c r="B452" s="94" t="s">
        <v>1779</v>
      </c>
      <c r="C452" s="116" t="s">
        <v>1780</v>
      </c>
      <c r="D452" s="107">
        <v>1241</v>
      </c>
      <c r="E452" s="255"/>
      <c r="F452" s="36"/>
      <c r="G452" s="36"/>
      <c r="H452" s="33" t="s">
        <v>60</v>
      </c>
      <c r="I452" s="107">
        <v>6242</v>
      </c>
      <c r="J452" s="107">
        <v>1</v>
      </c>
      <c r="K452" s="39">
        <v>2</v>
      </c>
      <c r="L452" s="40" t="s">
        <v>61</v>
      </c>
      <c r="M452" s="147" t="s">
        <v>108</v>
      </c>
      <c r="N452" s="42" t="s">
        <v>63</v>
      </c>
      <c r="O452" s="148" t="s">
        <v>88</v>
      </c>
      <c r="P452" s="46" t="s">
        <v>331</v>
      </c>
      <c r="Q452" s="46" t="s">
        <v>1777</v>
      </c>
      <c r="R452" s="257"/>
      <c r="S452" s="45">
        <f t="shared" si="105"/>
        <v>93343</v>
      </c>
      <c r="T452" s="45">
        <v>93343</v>
      </c>
      <c r="U452" s="45">
        <v>0</v>
      </c>
      <c r="V452" s="109" t="s">
        <v>1643</v>
      </c>
      <c r="W452" s="63">
        <v>41989</v>
      </c>
      <c r="X452" s="48"/>
      <c r="Y452" s="109" t="s">
        <v>234</v>
      </c>
      <c r="Z452" s="45"/>
      <c r="AA452" s="45"/>
      <c r="AB452" s="45">
        <f t="shared" si="104"/>
        <v>0</v>
      </c>
      <c r="AC452" s="48"/>
      <c r="AD452" s="63"/>
      <c r="AE452" s="51">
        <f t="shared" si="100"/>
        <v>0</v>
      </c>
      <c r="AF452" s="52">
        <f t="shared" si="101"/>
        <v>794.25</v>
      </c>
      <c r="AG452" s="52">
        <v>92548.75</v>
      </c>
      <c r="AH452" s="52">
        <f>46274.38+46274.37</f>
        <v>92548.75</v>
      </c>
      <c r="AI452" s="52">
        <f t="shared" si="102"/>
        <v>0</v>
      </c>
      <c r="AJ452" s="124">
        <v>0</v>
      </c>
      <c r="AK452" s="45">
        <v>0</v>
      </c>
      <c r="AL452" s="52">
        <f t="shared" si="107"/>
        <v>0</v>
      </c>
      <c r="AM452" s="52">
        <f t="shared" si="98"/>
        <v>92548.75</v>
      </c>
      <c r="AN452" s="51">
        <f t="shared" si="99"/>
        <v>92548.75</v>
      </c>
      <c r="AO452" s="51">
        <f t="shared" si="108"/>
        <v>0</v>
      </c>
      <c r="AP452" s="125"/>
      <c r="AQ452" s="52">
        <v>39891.699999999997</v>
      </c>
      <c r="AR452" s="51">
        <v>39891.699999999997</v>
      </c>
      <c r="AS452" s="51">
        <f t="shared" si="106"/>
        <v>0</v>
      </c>
      <c r="AT452" s="51">
        <f t="shared" si="103"/>
        <v>794.25</v>
      </c>
      <c r="AU452" s="48"/>
      <c r="AV452" s="46"/>
    </row>
    <row r="453" spans="1:48" ht="20.25" hidden="1" customHeight="1" x14ac:dyDescent="0.2">
      <c r="A453" s="32">
        <v>636</v>
      </c>
      <c r="B453" s="94" t="s">
        <v>1782</v>
      </c>
      <c r="C453" s="116" t="s">
        <v>1783</v>
      </c>
      <c r="D453" s="107">
        <v>653</v>
      </c>
      <c r="E453" s="253" t="s">
        <v>1784</v>
      </c>
      <c r="F453" s="82"/>
      <c r="G453" s="82"/>
      <c r="H453" s="33" t="s">
        <v>1275</v>
      </c>
      <c r="I453" s="107">
        <v>6242</v>
      </c>
      <c r="J453" s="107">
        <v>1</v>
      </c>
      <c r="K453" s="39">
        <v>5</v>
      </c>
      <c r="L453" s="118" t="s">
        <v>1276</v>
      </c>
      <c r="M453" s="147" t="s">
        <v>108</v>
      </c>
      <c r="N453" s="117" t="s">
        <v>704</v>
      </c>
      <c r="O453" s="148" t="s">
        <v>88</v>
      </c>
      <c r="P453" s="46" t="s">
        <v>331</v>
      </c>
      <c r="Q453" s="46" t="s">
        <v>1777</v>
      </c>
      <c r="R453" s="257"/>
      <c r="S453" s="45">
        <f t="shared" si="105"/>
        <v>135136.60999999999</v>
      </c>
      <c r="T453" s="45">
        <f>136207-1070.39</f>
        <v>135136.60999999999</v>
      </c>
      <c r="U453" s="45">
        <v>0</v>
      </c>
      <c r="V453" s="109" t="s">
        <v>1785</v>
      </c>
      <c r="W453" s="63">
        <v>41989</v>
      </c>
      <c r="X453" s="48"/>
      <c r="Y453" s="109" t="s">
        <v>234</v>
      </c>
      <c r="Z453" s="45"/>
      <c r="AA453" s="45"/>
      <c r="AB453" s="45">
        <f t="shared" si="104"/>
        <v>0</v>
      </c>
      <c r="AC453" s="48"/>
      <c r="AD453" s="63"/>
      <c r="AE453" s="51">
        <f t="shared" si="100"/>
        <v>0</v>
      </c>
      <c r="AF453" s="52">
        <f t="shared" si="101"/>
        <v>0</v>
      </c>
      <c r="AG453" s="52">
        <v>135136.60999999999</v>
      </c>
      <c r="AH453" s="52">
        <f>67568.3+67568.31</f>
        <v>135136.60999999999</v>
      </c>
      <c r="AI453" s="52">
        <f t="shared" si="102"/>
        <v>0</v>
      </c>
      <c r="AJ453" s="124">
        <v>0</v>
      </c>
      <c r="AK453" s="45">
        <v>0</v>
      </c>
      <c r="AL453" s="52">
        <f t="shared" si="107"/>
        <v>0</v>
      </c>
      <c r="AM453" s="52">
        <f t="shared" si="98"/>
        <v>135136.60999999999</v>
      </c>
      <c r="AN453" s="51">
        <f t="shared" si="99"/>
        <v>135136.60999999999</v>
      </c>
      <c r="AO453" s="51">
        <f t="shared" si="108"/>
        <v>0</v>
      </c>
      <c r="AP453" s="125"/>
      <c r="AQ453" s="52">
        <v>58248.54</v>
      </c>
      <c r="AR453" s="51">
        <v>58248.54</v>
      </c>
      <c r="AS453" s="51">
        <f t="shared" si="106"/>
        <v>0</v>
      </c>
      <c r="AT453" s="126">
        <f t="shared" si="103"/>
        <v>0</v>
      </c>
      <c r="AU453" s="48"/>
      <c r="AV453" s="46"/>
    </row>
    <row r="454" spans="1:48" ht="20.25" hidden="1" customHeight="1" x14ac:dyDescent="0.2">
      <c r="A454" s="32">
        <v>636</v>
      </c>
      <c r="B454" s="94" t="s">
        <v>1782</v>
      </c>
      <c r="C454" s="116" t="s">
        <v>1783</v>
      </c>
      <c r="D454" s="107">
        <v>654</v>
      </c>
      <c r="E454" s="255"/>
      <c r="F454" s="36"/>
      <c r="G454" s="36"/>
      <c r="H454" s="33" t="s">
        <v>60</v>
      </c>
      <c r="I454" s="107">
        <v>6242</v>
      </c>
      <c r="J454" s="107">
        <v>1</v>
      </c>
      <c r="K454" s="39">
        <v>2</v>
      </c>
      <c r="L454" s="40" t="s">
        <v>61</v>
      </c>
      <c r="M454" s="147" t="s">
        <v>108</v>
      </c>
      <c r="N454" s="117" t="s">
        <v>704</v>
      </c>
      <c r="O454" s="148" t="s">
        <v>88</v>
      </c>
      <c r="P454" s="46" t="s">
        <v>331</v>
      </c>
      <c r="Q454" s="46" t="s">
        <v>1777</v>
      </c>
      <c r="R454" s="257"/>
      <c r="S454" s="45">
        <f t="shared" si="105"/>
        <v>90805</v>
      </c>
      <c r="T454" s="45">
        <v>90805</v>
      </c>
      <c r="U454" s="45">
        <v>0</v>
      </c>
      <c r="V454" s="109" t="s">
        <v>1785</v>
      </c>
      <c r="W454" s="63">
        <v>41989</v>
      </c>
      <c r="X454" s="48"/>
      <c r="Y454" s="109" t="s">
        <v>234</v>
      </c>
      <c r="Z454" s="45"/>
      <c r="AA454" s="45"/>
      <c r="AB454" s="45">
        <f t="shared" si="104"/>
        <v>0</v>
      </c>
      <c r="AC454" s="48"/>
      <c r="AD454" s="63"/>
      <c r="AE454" s="51">
        <f t="shared" si="100"/>
        <v>0</v>
      </c>
      <c r="AF454" s="52">
        <f t="shared" si="101"/>
        <v>713.91999999999825</v>
      </c>
      <c r="AG454" s="52">
        <v>90091.08</v>
      </c>
      <c r="AH454" s="52">
        <f>45045.54+45045.53</f>
        <v>90091.07</v>
      </c>
      <c r="AI454" s="52">
        <f t="shared" si="102"/>
        <v>9.9999999947613105E-3</v>
      </c>
      <c r="AJ454" s="124">
        <v>0</v>
      </c>
      <c r="AK454" s="45">
        <v>0</v>
      </c>
      <c r="AL454" s="52">
        <f t="shared" si="107"/>
        <v>0</v>
      </c>
      <c r="AM454" s="52">
        <f t="shared" si="98"/>
        <v>90091.08</v>
      </c>
      <c r="AN454" s="51">
        <f t="shared" si="99"/>
        <v>90091.07</v>
      </c>
      <c r="AO454" s="51">
        <f t="shared" si="108"/>
        <v>9.9999999947613105E-3</v>
      </c>
      <c r="AP454" s="125"/>
      <c r="AQ454" s="52">
        <v>38832.36</v>
      </c>
      <c r="AR454" s="51">
        <v>38832.36</v>
      </c>
      <c r="AS454" s="51">
        <f t="shared" si="106"/>
        <v>0</v>
      </c>
      <c r="AT454" s="51">
        <f t="shared" si="103"/>
        <v>713.92999999999302</v>
      </c>
      <c r="AU454" s="48"/>
      <c r="AV454" s="46"/>
    </row>
    <row r="455" spans="1:48" ht="20.25" hidden="1" customHeight="1" x14ac:dyDescent="0.2">
      <c r="A455" s="32">
        <v>636</v>
      </c>
      <c r="B455" s="94" t="s">
        <v>1786</v>
      </c>
      <c r="C455" s="116" t="s">
        <v>1787</v>
      </c>
      <c r="D455" s="107">
        <v>655</v>
      </c>
      <c r="E455" s="253" t="s">
        <v>1788</v>
      </c>
      <c r="F455" s="82"/>
      <c r="G455" s="86"/>
      <c r="H455" s="33" t="s">
        <v>1275</v>
      </c>
      <c r="I455" s="107">
        <v>6242</v>
      </c>
      <c r="J455" s="107">
        <v>1</v>
      </c>
      <c r="K455" s="39">
        <v>5</v>
      </c>
      <c r="L455" s="118" t="s">
        <v>1276</v>
      </c>
      <c r="M455" s="147" t="s">
        <v>108</v>
      </c>
      <c r="N455" s="42" t="s">
        <v>63</v>
      </c>
      <c r="O455" s="148" t="s">
        <v>88</v>
      </c>
      <c r="P455" s="46" t="s">
        <v>331</v>
      </c>
      <c r="Q455" s="46" t="s">
        <v>1789</v>
      </c>
      <c r="R455" s="257"/>
      <c r="S455" s="45">
        <f t="shared" si="105"/>
        <v>235361.33</v>
      </c>
      <c r="T455" s="45">
        <f>236942-1580.67</f>
        <v>235361.33</v>
      </c>
      <c r="U455" s="45">
        <v>0</v>
      </c>
      <c r="V455" s="109" t="s">
        <v>1655</v>
      </c>
      <c r="W455" s="63">
        <v>41977</v>
      </c>
      <c r="X455" s="48"/>
      <c r="Y455" s="109" t="s">
        <v>234</v>
      </c>
      <c r="Z455" s="45"/>
      <c r="AA455" s="45"/>
      <c r="AB455" s="45">
        <f t="shared" si="104"/>
        <v>0</v>
      </c>
      <c r="AC455" s="48"/>
      <c r="AD455" s="63"/>
      <c r="AE455" s="51">
        <f t="shared" si="100"/>
        <v>0</v>
      </c>
      <c r="AF455" s="52">
        <f t="shared" si="101"/>
        <v>0</v>
      </c>
      <c r="AG455" s="52">
        <v>235361.33</v>
      </c>
      <c r="AH455" s="52">
        <f>117680.67+117680.66</f>
        <v>235361.33000000002</v>
      </c>
      <c r="AI455" s="52">
        <f t="shared" si="102"/>
        <v>-2.9103830456733704E-11</v>
      </c>
      <c r="AJ455" s="124">
        <v>0</v>
      </c>
      <c r="AK455" s="45">
        <v>0</v>
      </c>
      <c r="AL455" s="52">
        <f t="shared" si="107"/>
        <v>0</v>
      </c>
      <c r="AM455" s="52">
        <f t="shared" si="98"/>
        <v>235361.33</v>
      </c>
      <c r="AN455" s="51">
        <f t="shared" si="99"/>
        <v>235361.33000000002</v>
      </c>
      <c r="AO455" s="51">
        <f t="shared" si="108"/>
        <v>0</v>
      </c>
      <c r="AP455" s="125"/>
      <c r="AQ455" s="52">
        <v>101448.85</v>
      </c>
      <c r="AR455" s="51">
        <v>101448.85</v>
      </c>
      <c r="AS455" s="51">
        <f t="shared" si="106"/>
        <v>0</v>
      </c>
      <c r="AT455" s="126">
        <f t="shared" si="103"/>
        <v>-2.9103830456733704E-11</v>
      </c>
      <c r="AU455" s="48"/>
      <c r="AV455" s="46"/>
    </row>
    <row r="456" spans="1:48" ht="20.25" hidden="1" customHeight="1" x14ac:dyDescent="0.2">
      <c r="A456" s="32">
        <v>636</v>
      </c>
      <c r="B456" s="94" t="s">
        <v>1786</v>
      </c>
      <c r="C456" s="116" t="s">
        <v>1787</v>
      </c>
      <c r="D456" s="107">
        <v>656</v>
      </c>
      <c r="E456" s="255"/>
      <c r="F456" s="36"/>
      <c r="G456" s="72"/>
      <c r="H456" s="33" t="s">
        <v>60</v>
      </c>
      <c r="I456" s="107">
        <v>6242</v>
      </c>
      <c r="J456" s="107">
        <v>1</v>
      </c>
      <c r="K456" s="39">
        <v>2</v>
      </c>
      <c r="L456" s="40" t="s">
        <v>61</v>
      </c>
      <c r="M456" s="147" t="s">
        <v>108</v>
      </c>
      <c r="N456" s="42" t="s">
        <v>63</v>
      </c>
      <c r="O456" s="148" t="s">
        <v>88</v>
      </c>
      <c r="P456" s="46" t="s">
        <v>331</v>
      </c>
      <c r="Q456" s="46" t="s">
        <v>1789</v>
      </c>
      <c r="R456" s="258"/>
      <c r="S456" s="45">
        <f t="shared" si="105"/>
        <v>157961</v>
      </c>
      <c r="T456" s="45">
        <v>157961</v>
      </c>
      <c r="U456" s="45">
        <v>0</v>
      </c>
      <c r="V456" s="109" t="s">
        <v>1655</v>
      </c>
      <c r="W456" s="63">
        <v>41977</v>
      </c>
      <c r="X456" s="48"/>
      <c r="Y456" s="109" t="s">
        <v>234</v>
      </c>
      <c r="Z456" s="45"/>
      <c r="AA456" s="45"/>
      <c r="AB456" s="45">
        <f t="shared" si="104"/>
        <v>0</v>
      </c>
      <c r="AC456" s="48"/>
      <c r="AD456" s="63"/>
      <c r="AE456" s="51">
        <f t="shared" si="100"/>
        <v>0</v>
      </c>
      <c r="AF456" s="52">
        <f t="shared" si="101"/>
        <v>1053.4400000000023</v>
      </c>
      <c r="AG456" s="52">
        <v>156907.56</v>
      </c>
      <c r="AH456" s="52">
        <f>78453.78+78453.78</f>
        <v>156907.56</v>
      </c>
      <c r="AI456" s="52">
        <f t="shared" si="102"/>
        <v>0</v>
      </c>
      <c r="AJ456" s="124">
        <v>0</v>
      </c>
      <c r="AK456" s="45">
        <v>0</v>
      </c>
      <c r="AL456" s="52">
        <f t="shared" si="107"/>
        <v>0</v>
      </c>
      <c r="AM456" s="52">
        <f t="shared" si="98"/>
        <v>156907.56</v>
      </c>
      <c r="AN456" s="51">
        <f t="shared" si="99"/>
        <v>156907.56</v>
      </c>
      <c r="AO456" s="51">
        <f t="shared" si="108"/>
        <v>0</v>
      </c>
      <c r="AP456" s="125"/>
      <c r="AQ456" s="52">
        <v>67632.570000000007</v>
      </c>
      <c r="AR456" s="51">
        <v>67632.570000000007</v>
      </c>
      <c r="AS456" s="51">
        <f t="shared" si="106"/>
        <v>0</v>
      </c>
      <c r="AT456" s="51">
        <f t="shared" si="103"/>
        <v>1053.4400000000023</v>
      </c>
      <c r="AU456" s="48"/>
      <c r="AV456" s="46"/>
    </row>
    <row r="457" spans="1:48" ht="20.25" hidden="1" customHeight="1" x14ac:dyDescent="0.2">
      <c r="A457" s="32">
        <v>636</v>
      </c>
      <c r="B457" s="122" t="s">
        <v>1790</v>
      </c>
      <c r="C457" s="116"/>
      <c r="D457" s="107">
        <v>1287</v>
      </c>
      <c r="E457" s="46" t="s">
        <v>1791</v>
      </c>
      <c r="F457" s="46"/>
      <c r="G457" s="46" t="s">
        <v>1792</v>
      </c>
      <c r="H457" s="33" t="s">
        <v>209</v>
      </c>
      <c r="I457" s="107">
        <v>6132</v>
      </c>
      <c r="J457" s="107"/>
      <c r="K457" s="169">
        <v>2.1</v>
      </c>
      <c r="L457" s="40" t="s">
        <v>1793</v>
      </c>
      <c r="M457" s="147" t="s">
        <v>250</v>
      </c>
      <c r="N457" s="42" t="s">
        <v>76</v>
      </c>
      <c r="O457" s="148" t="s">
        <v>252</v>
      </c>
      <c r="P457" s="46" t="s">
        <v>518</v>
      </c>
      <c r="Q457" s="46" t="s">
        <v>1794</v>
      </c>
      <c r="R457" s="33" t="s">
        <v>1795</v>
      </c>
      <c r="S457" s="45">
        <f t="shared" si="105"/>
        <v>1125074.1399999999</v>
      </c>
      <c r="T457" s="45">
        <v>1125074.1399999999</v>
      </c>
      <c r="U457" s="45">
        <v>0</v>
      </c>
      <c r="V457" s="109" t="s">
        <v>1796</v>
      </c>
      <c r="W457" s="63">
        <v>41997</v>
      </c>
      <c r="X457" s="48"/>
      <c r="Y457" s="109" t="s">
        <v>234</v>
      </c>
      <c r="Z457" s="45"/>
      <c r="AA457" s="45"/>
      <c r="AB457" s="45">
        <f t="shared" si="104"/>
        <v>0</v>
      </c>
      <c r="AC457" s="48"/>
      <c r="AD457" s="63"/>
      <c r="AE457" s="51">
        <f t="shared" si="100"/>
        <v>0</v>
      </c>
      <c r="AF457" s="52">
        <f t="shared" si="101"/>
        <v>8157.7999999998137</v>
      </c>
      <c r="AG457" s="52">
        <v>1116916.3400000001</v>
      </c>
      <c r="AH457" s="52">
        <f>335074.9+781841.44</f>
        <v>1116916.3399999999</v>
      </c>
      <c r="AI457" s="52">
        <f t="shared" si="102"/>
        <v>2.3283064365386963E-10</v>
      </c>
      <c r="AJ457" s="124">
        <v>0</v>
      </c>
      <c r="AK457" s="45">
        <v>0</v>
      </c>
      <c r="AL457" s="52">
        <f t="shared" si="107"/>
        <v>0</v>
      </c>
      <c r="AM457" s="52">
        <f t="shared" si="98"/>
        <v>1116916.3400000001</v>
      </c>
      <c r="AN457" s="51">
        <f t="shared" si="99"/>
        <v>1116916.3399999999</v>
      </c>
      <c r="AO457" s="51">
        <f t="shared" si="108"/>
        <v>0</v>
      </c>
      <c r="AP457" s="125" t="s">
        <v>1296</v>
      </c>
      <c r="AQ457" s="52">
        <v>288857.67</v>
      </c>
      <c r="AR457" s="51">
        <v>288857.67</v>
      </c>
      <c r="AS457" s="51">
        <f t="shared" si="106"/>
        <v>0</v>
      </c>
      <c r="AT457" s="126">
        <f t="shared" si="103"/>
        <v>8157.8000000000466</v>
      </c>
      <c r="AU457" s="48"/>
      <c r="AV457" s="46"/>
    </row>
    <row r="458" spans="1:48" ht="20.25" hidden="1" customHeight="1" x14ac:dyDescent="0.2">
      <c r="A458" s="32">
        <v>636</v>
      </c>
      <c r="B458" s="122" t="s">
        <v>1797</v>
      </c>
      <c r="C458" s="116"/>
      <c r="D458" s="107">
        <v>1286</v>
      </c>
      <c r="E458" s="46" t="s">
        <v>1798</v>
      </c>
      <c r="F458" s="37" t="s">
        <v>59</v>
      </c>
      <c r="G458" s="46" t="s">
        <v>1799</v>
      </c>
      <c r="H458" s="33" t="s">
        <v>226</v>
      </c>
      <c r="I458" s="107">
        <v>6122</v>
      </c>
      <c r="J458" s="107"/>
      <c r="K458" s="39" t="s">
        <v>372</v>
      </c>
      <c r="L458" s="40" t="s">
        <v>1800</v>
      </c>
      <c r="M458" s="147" t="s">
        <v>278</v>
      </c>
      <c r="N458" s="42" t="s">
        <v>63</v>
      </c>
      <c r="O458" s="148" t="s">
        <v>279</v>
      </c>
      <c r="P458" s="46" t="s">
        <v>1801</v>
      </c>
      <c r="Q458" s="46" t="s">
        <v>1802</v>
      </c>
      <c r="R458" s="33" t="s">
        <v>1803</v>
      </c>
      <c r="S458" s="45">
        <f t="shared" si="105"/>
        <v>397609.41000000003</v>
      </c>
      <c r="T458" s="45">
        <f>394600.56-3704.04</f>
        <v>390896.52</v>
      </c>
      <c r="U458" s="45">
        <f>6803.46-90.57</f>
        <v>6712.89</v>
      </c>
      <c r="V458" s="67" t="s">
        <v>1804</v>
      </c>
      <c r="W458" s="47" t="s">
        <v>1805</v>
      </c>
      <c r="X458" s="48"/>
      <c r="Y458" s="109" t="s">
        <v>246</v>
      </c>
      <c r="Z458" s="45">
        <f>6739.6-26.71</f>
        <v>6712.89</v>
      </c>
      <c r="AA458" s="45">
        <f>3364+1800+1548.89</f>
        <v>6712.89</v>
      </c>
      <c r="AB458" s="45">
        <f t="shared" si="104"/>
        <v>0</v>
      </c>
      <c r="AC458" s="48" t="s">
        <v>93</v>
      </c>
      <c r="AD458" s="63">
        <v>42103</v>
      </c>
      <c r="AE458" s="51">
        <f t="shared" si="100"/>
        <v>0</v>
      </c>
      <c r="AF458" s="52">
        <f t="shared" si="101"/>
        <v>0</v>
      </c>
      <c r="AG458" s="52">
        <v>390896.52</v>
      </c>
      <c r="AH458" s="52">
        <v>390896.52</v>
      </c>
      <c r="AI458" s="52">
        <f t="shared" si="102"/>
        <v>0</v>
      </c>
      <c r="AJ458" s="124">
        <v>0</v>
      </c>
      <c r="AK458" s="45">
        <v>0</v>
      </c>
      <c r="AL458" s="52">
        <f t="shared" si="107"/>
        <v>0</v>
      </c>
      <c r="AM458" s="52">
        <f t="shared" si="98"/>
        <v>397609.41000000003</v>
      </c>
      <c r="AN458" s="51">
        <f t="shared" si="99"/>
        <v>397609.41000000003</v>
      </c>
      <c r="AO458" s="51">
        <f t="shared" si="108"/>
        <v>0</v>
      </c>
      <c r="AP458" s="125"/>
      <c r="AQ458" s="52"/>
      <c r="AR458" s="51"/>
      <c r="AS458" s="51">
        <f t="shared" si="106"/>
        <v>0</v>
      </c>
      <c r="AT458" s="126">
        <f t="shared" si="103"/>
        <v>0</v>
      </c>
      <c r="AU458" s="48"/>
      <c r="AV458" s="46"/>
    </row>
    <row r="459" spans="1:48" ht="33" hidden="1" x14ac:dyDescent="0.2">
      <c r="A459" s="32">
        <v>636</v>
      </c>
      <c r="B459" s="122" t="s">
        <v>1806</v>
      </c>
      <c r="C459" s="116"/>
      <c r="D459" s="107">
        <v>1289</v>
      </c>
      <c r="E459" s="46" t="s">
        <v>1807</v>
      </c>
      <c r="F459" s="37" t="s">
        <v>59</v>
      </c>
      <c r="G459" s="46" t="s">
        <v>1792</v>
      </c>
      <c r="H459" s="33" t="s">
        <v>1808</v>
      </c>
      <c r="I459" s="107">
        <v>6132</v>
      </c>
      <c r="J459" s="107"/>
      <c r="K459" s="169">
        <v>2.1</v>
      </c>
      <c r="L459" s="40" t="s">
        <v>1793</v>
      </c>
      <c r="M459" s="147" t="s">
        <v>250</v>
      </c>
      <c r="N459" s="42" t="s">
        <v>76</v>
      </c>
      <c r="O459" s="148" t="s">
        <v>252</v>
      </c>
      <c r="P459" s="46" t="s">
        <v>518</v>
      </c>
      <c r="Q459" s="46" t="s">
        <v>680</v>
      </c>
      <c r="R459" s="33" t="s">
        <v>1809</v>
      </c>
      <c r="S459" s="45">
        <f t="shared" si="105"/>
        <v>428494.86</v>
      </c>
      <c r="T459" s="45">
        <f>431997.1-3502.24</f>
        <v>428494.86</v>
      </c>
      <c r="U459" s="45">
        <v>0</v>
      </c>
      <c r="V459" s="67" t="s">
        <v>1810</v>
      </c>
      <c r="W459" s="47" t="s">
        <v>1811</v>
      </c>
      <c r="X459" s="48"/>
      <c r="Y459" s="109" t="s">
        <v>234</v>
      </c>
      <c r="Z459" s="45"/>
      <c r="AA459" s="45"/>
      <c r="AB459" s="45">
        <f t="shared" si="104"/>
        <v>0</v>
      </c>
      <c r="AC459" s="48"/>
      <c r="AD459" s="63"/>
      <c r="AE459" s="51">
        <f t="shared" si="100"/>
        <v>0</v>
      </c>
      <c r="AF459" s="52">
        <f t="shared" si="101"/>
        <v>0</v>
      </c>
      <c r="AG459" s="52">
        <v>428494.86</v>
      </c>
      <c r="AH459" s="52">
        <f>128548.46+299946.4</f>
        <v>428494.86000000004</v>
      </c>
      <c r="AI459" s="52">
        <f t="shared" si="102"/>
        <v>-5.8207660913467407E-11</v>
      </c>
      <c r="AJ459" s="124">
        <v>0</v>
      </c>
      <c r="AK459" s="45">
        <v>0</v>
      </c>
      <c r="AL459" s="52">
        <f t="shared" si="107"/>
        <v>0</v>
      </c>
      <c r="AM459" s="52">
        <f t="shared" si="98"/>
        <v>428494.86</v>
      </c>
      <c r="AN459" s="51">
        <f t="shared" si="99"/>
        <v>428494.86000000004</v>
      </c>
      <c r="AO459" s="51">
        <f t="shared" si="108"/>
        <v>0</v>
      </c>
      <c r="AP459" s="125" t="s">
        <v>1812</v>
      </c>
      <c r="AQ459" s="52">
        <v>110817.64</v>
      </c>
      <c r="AR459" s="51">
        <v>110817.64</v>
      </c>
      <c r="AS459" s="51">
        <f t="shared" si="106"/>
        <v>0</v>
      </c>
      <c r="AT459" s="126">
        <f t="shared" si="103"/>
        <v>-5.8207660913467407E-11</v>
      </c>
      <c r="AU459" s="48"/>
      <c r="AV459" s="46"/>
    </row>
    <row r="460" spans="1:48" ht="20.25" hidden="1" customHeight="1" x14ac:dyDescent="0.2">
      <c r="A460" s="32">
        <v>636</v>
      </c>
      <c r="B460" s="122" t="s">
        <v>1813</v>
      </c>
      <c r="C460" s="116"/>
      <c r="D460" s="107">
        <v>1288</v>
      </c>
      <c r="E460" s="46" t="s">
        <v>1814</v>
      </c>
      <c r="F460" s="46"/>
      <c r="G460" s="46" t="s">
        <v>1792</v>
      </c>
      <c r="H460" s="33" t="s">
        <v>209</v>
      </c>
      <c r="I460" s="107">
        <v>6132</v>
      </c>
      <c r="J460" s="107"/>
      <c r="K460" s="169">
        <v>2.1</v>
      </c>
      <c r="L460" s="40" t="s">
        <v>1793</v>
      </c>
      <c r="M460" s="147" t="s">
        <v>250</v>
      </c>
      <c r="N460" s="42" t="s">
        <v>76</v>
      </c>
      <c r="O460" s="148" t="s">
        <v>252</v>
      </c>
      <c r="P460" s="46" t="s">
        <v>518</v>
      </c>
      <c r="Q460" s="46" t="s">
        <v>1815</v>
      </c>
      <c r="R460" s="33" t="s">
        <v>1816</v>
      </c>
      <c r="S460" s="45">
        <f t="shared" si="105"/>
        <v>344771.76</v>
      </c>
      <c r="T460" s="45">
        <v>344771.76</v>
      </c>
      <c r="U460" s="45">
        <v>0</v>
      </c>
      <c r="V460" s="109" t="s">
        <v>1796</v>
      </c>
      <c r="W460" s="63">
        <v>41997</v>
      </c>
      <c r="X460" s="48"/>
      <c r="Y460" s="109" t="s">
        <v>234</v>
      </c>
      <c r="Z460" s="45"/>
      <c r="AA460" s="45"/>
      <c r="AB460" s="45">
        <f t="shared" si="104"/>
        <v>0</v>
      </c>
      <c r="AC460" s="48"/>
      <c r="AD460" s="63"/>
      <c r="AE460" s="51">
        <f t="shared" si="100"/>
        <v>0</v>
      </c>
      <c r="AF460" s="52">
        <f t="shared" si="101"/>
        <v>3503.679999999993</v>
      </c>
      <c r="AG460" s="52">
        <v>341268.08</v>
      </c>
      <c r="AH460" s="52">
        <f>102380.43+238887.65</f>
        <v>341268.07999999996</v>
      </c>
      <c r="AI460" s="52">
        <f t="shared" si="102"/>
        <v>5.8207660913467407E-11</v>
      </c>
      <c r="AJ460" s="124">
        <v>0</v>
      </c>
      <c r="AK460" s="45">
        <v>0</v>
      </c>
      <c r="AL460" s="52">
        <f t="shared" si="107"/>
        <v>0</v>
      </c>
      <c r="AM460" s="52">
        <f t="shared" si="98"/>
        <v>341268.08</v>
      </c>
      <c r="AN460" s="51">
        <f t="shared" si="99"/>
        <v>341268.07999999996</v>
      </c>
      <c r="AO460" s="51">
        <f t="shared" si="108"/>
        <v>0</v>
      </c>
      <c r="AP460" s="125" t="s">
        <v>146</v>
      </c>
      <c r="AQ460" s="52">
        <v>88258.99</v>
      </c>
      <c r="AR460" s="51">
        <v>88258.99</v>
      </c>
      <c r="AS460" s="51">
        <f t="shared" si="106"/>
        <v>0</v>
      </c>
      <c r="AT460" s="126">
        <f t="shared" si="103"/>
        <v>3503.6800000000512</v>
      </c>
      <c r="AU460" s="48"/>
      <c r="AV460" s="46"/>
    </row>
    <row r="461" spans="1:48" ht="33" hidden="1" x14ac:dyDescent="0.2">
      <c r="A461" s="32">
        <v>636</v>
      </c>
      <c r="B461" s="122" t="s">
        <v>1817</v>
      </c>
      <c r="C461" s="116"/>
      <c r="D461" s="107">
        <v>1311</v>
      </c>
      <c r="E461" s="46" t="s">
        <v>1818</v>
      </c>
      <c r="F461" s="37" t="s">
        <v>59</v>
      </c>
      <c r="G461" s="46" t="s">
        <v>1792</v>
      </c>
      <c r="H461" s="33" t="s">
        <v>1808</v>
      </c>
      <c r="I461" s="107">
        <v>6132</v>
      </c>
      <c r="J461" s="107"/>
      <c r="K461" s="169">
        <v>2.1</v>
      </c>
      <c r="L461" s="40" t="s">
        <v>1793</v>
      </c>
      <c r="M461" s="147" t="s">
        <v>250</v>
      </c>
      <c r="N461" s="42" t="s">
        <v>76</v>
      </c>
      <c r="O461" s="148" t="s">
        <v>252</v>
      </c>
      <c r="P461" s="46" t="s">
        <v>518</v>
      </c>
      <c r="Q461" s="46" t="s">
        <v>1789</v>
      </c>
      <c r="R461" s="33" t="s">
        <v>1819</v>
      </c>
      <c r="S461" s="45">
        <f t="shared" si="105"/>
        <v>629851.02</v>
      </c>
      <c r="T461" s="45">
        <f>636836.77-6985.75</f>
        <v>629851.02</v>
      </c>
      <c r="U461" s="45">
        <v>0</v>
      </c>
      <c r="V461" s="67" t="s">
        <v>1810</v>
      </c>
      <c r="W461" s="47" t="s">
        <v>1811</v>
      </c>
      <c r="X461" s="48"/>
      <c r="Y461" s="109" t="s">
        <v>234</v>
      </c>
      <c r="Z461" s="45"/>
      <c r="AA461" s="45"/>
      <c r="AB461" s="45">
        <f t="shared" si="104"/>
        <v>0</v>
      </c>
      <c r="AC461" s="48"/>
      <c r="AD461" s="63"/>
      <c r="AE461" s="51">
        <f t="shared" ref="AE461:AE507" si="109">U461-Z461</f>
        <v>0</v>
      </c>
      <c r="AF461" s="52">
        <f t="shared" si="101"/>
        <v>0</v>
      </c>
      <c r="AG461" s="52">
        <v>629851.02</v>
      </c>
      <c r="AH461" s="52">
        <f>188955.31+440895.71</f>
        <v>629851.02</v>
      </c>
      <c r="AI461" s="52">
        <f t="shared" si="102"/>
        <v>0</v>
      </c>
      <c r="AJ461" s="124">
        <v>0</v>
      </c>
      <c r="AK461" s="45">
        <v>0</v>
      </c>
      <c r="AL461" s="52">
        <f t="shared" si="107"/>
        <v>0</v>
      </c>
      <c r="AM461" s="52">
        <f t="shared" ref="AM461:AM515" si="110">SUM(AG461+Z461)+AJ461</f>
        <v>629851.02</v>
      </c>
      <c r="AN461" s="51">
        <f t="shared" ref="AN461:AN515" si="111">SUM(AA461+AH461)+AK461</f>
        <v>629851.02</v>
      </c>
      <c r="AO461" s="51">
        <f t="shared" si="108"/>
        <v>0</v>
      </c>
      <c r="AP461" s="125" t="s">
        <v>1812</v>
      </c>
      <c r="AQ461" s="52">
        <v>162892.51</v>
      </c>
      <c r="AR461" s="51">
        <v>162892.51</v>
      </c>
      <c r="AS461" s="51">
        <f t="shared" si="106"/>
        <v>0</v>
      </c>
      <c r="AT461" s="126">
        <f t="shared" si="103"/>
        <v>0</v>
      </c>
      <c r="AU461" s="48"/>
      <c r="AV461" s="46"/>
    </row>
    <row r="462" spans="1:48" ht="28.5" hidden="1" customHeight="1" x14ac:dyDescent="0.2">
      <c r="A462" s="32">
        <v>636</v>
      </c>
      <c r="B462" s="122" t="s">
        <v>1820</v>
      </c>
      <c r="C462" s="116"/>
      <c r="D462" s="107">
        <v>1310</v>
      </c>
      <c r="E462" s="46" t="s">
        <v>1821</v>
      </c>
      <c r="F462" s="46"/>
      <c r="G462" s="46" t="s">
        <v>1792</v>
      </c>
      <c r="H462" s="33" t="s">
        <v>209</v>
      </c>
      <c r="I462" s="107">
        <v>6132</v>
      </c>
      <c r="J462" s="107"/>
      <c r="K462" s="169">
        <v>2.1</v>
      </c>
      <c r="L462" s="40" t="s">
        <v>1793</v>
      </c>
      <c r="M462" s="147" t="s">
        <v>250</v>
      </c>
      <c r="N462" s="42" t="s">
        <v>76</v>
      </c>
      <c r="O462" s="148" t="s">
        <v>252</v>
      </c>
      <c r="P462" s="46" t="s">
        <v>518</v>
      </c>
      <c r="Q462" s="46" t="s">
        <v>911</v>
      </c>
      <c r="R462" s="33" t="s">
        <v>1822</v>
      </c>
      <c r="S462" s="45">
        <f t="shared" si="105"/>
        <v>571946.87</v>
      </c>
      <c r="T462" s="45">
        <v>571946.87</v>
      </c>
      <c r="U462" s="45">
        <v>0</v>
      </c>
      <c r="V462" s="109" t="s">
        <v>1796</v>
      </c>
      <c r="W462" s="63">
        <v>41997</v>
      </c>
      <c r="X462" s="48"/>
      <c r="Y462" s="109" t="s">
        <v>234</v>
      </c>
      <c r="Z462" s="45"/>
      <c r="AA462" s="45"/>
      <c r="AB462" s="45">
        <f t="shared" si="104"/>
        <v>0</v>
      </c>
      <c r="AC462" s="48"/>
      <c r="AD462" s="63"/>
      <c r="AE462" s="51">
        <f t="shared" si="109"/>
        <v>0</v>
      </c>
      <c r="AF462" s="52">
        <f t="shared" ref="AF462:AF516" si="112">T462-AG462-AJ462</f>
        <v>5129.0100000000093</v>
      </c>
      <c r="AG462" s="52">
        <v>566817.86</v>
      </c>
      <c r="AH462" s="52">
        <f>170045.36+396772.5</f>
        <v>566817.86</v>
      </c>
      <c r="AI462" s="52">
        <f t="shared" si="102"/>
        <v>0</v>
      </c>
      <c r="AJ462" s="124">
        <v>0</v>
      </c>
      <c r="AK462" s="45">
        <v>0</v>
      </c>
      <c r="AL462" s="52">
        <f t="shared" si="107"/>
        <v>0</v>
      </c>
      <c r="AM462" s="52">
        <f t="shared" si="110"/>
        <v>566817.86</v>
      </c>
      <c r="AN462" s="51">
        <f t="shared" si="111"/>
        <v>566817.86</v>
      </c>
      <c r="AO462" s="51">
        <f t="shared" si="108"/>
        <v>0</v>
      </c>
      <c r="AP462" s="125" t="s">
        <v>146</v>
      </c>
      <c r="AQ462" s="52">
        <v>146590.82999999999</v>
      </c>
      <c r="AR462" s="51">
        <v>146590.82999999999</v>
      </c>
      <c r="AS462" s="51">
        <f t="shared" si="106"/>
        <v>0</v>
      </c>
      <c r="AT462" s="126">
        <f t="shared" si="103"/>
        <v>5129.0100000000093</v>
      </c>
      <c r="AU462" s="48"/>
      <c r="AV462" s="46"/>
    </row>
    <row r="463" spans="1:48" ht="20.25" hidden="1" customHeight="1" x14ac:dyDescent="0.2">
      <c r="A463" s="32">
        <v>636</v>
      </c>
      <c r="B463" s="122" t="s">
        <v>1823</v>
      </c>
      <c r="C463" s="116"/>
      <c r="D463" s="107">
        <v>1409</v>
      </c>
      <c r="E463" s="46" t="s">
        <v>1824</v>
      </c>
      <c r="F463" s="46"/>
      <c r="G463" s="46" t="s">
        <v>1792</v>
      </c>
      <c r="H463" s="33" t="s">
        <v>209</v>
      </c>
      <c r="I463" s="107">
        <v>6132</v>
      </c>
      <c r="J463" s="107"/>
      <c r="K463" s="169">
        <v>2.1</v>
      </c>
      <c r="L463" s="40" t="s">
        <v>1793</v>
      </c>
      <c r="M463" s="147" t="s">
        <v>250</v>
      </c>
      <c r="N463" s="42" t="s">
        <v>76</v>
      </c>
      <c r="O463" s="148" t="s">
        <v>252</v>
      </c>
      <c r="P463" s="46" t="s">
        <v>518</v>
      </c>
      <c r="Q463" s="46" t="s">
        <v>1825</v>
      </c>
      <c r="R463" s="33" t="s">
        <v>1826</v>
      </c>
      <c r="S463" s="45">
        <f t="shared" si="105"/>
        <v>706389.16</v>
      </c>
      <c r="T463" s="45">
        <v>706389.16</v>
      </c>
      <c r="U463" s="45">
        <v>0</v>
      </c>
      <c r="V463" s="109" t="s">
        <v>1827</v>
      </c>
      <c r="W463" s="63">
        <v>42003</v>
      </c>
      <c r="X463" s="48"/>
      <c r="Y463" s="109" t="s">
        <v>234</v>
      </c>
      <c r="Z463" s="45"/>
      <c r="AA463" s="45"/>
      <c r="AB463" s="45">
        <f t="shared" si="104"/>
        <v>0</v>
      </c>
      <c r="AC463" s="48"/>
      <c r="AD463" s="63"/>
      <c r="AE463" s="51">
        <f t="shared" si="109"/>
        <v>0</v>
      </c>
      <c r="AF463" s="52">
        <f t="shared" si="112"/>
        <v>6999.4600000000792</v>
      </c>
      <c r="AG463" s="52">
        <v>699389.7</v>
      </c>
      <c r="AH463" s="52">
        <f>209816.91+489572.78</f>
        <v>699389.69000000006</v>
      </c>
      <c r="AI463" s="52">
        <f t="shared" si="102"/>
        <v>9.9999998928979039E-3</v>
      </c>
      <c r="AJ463" s="124">
        <v>0</v>
      </c>
      <c r="AK463" s="45">
        <v>0</v>
      </c>
      <c r="AL463" s="52">
        <f t="shared" si="107"/>
        <v>0</v>
      </c>
      <c r="AM463" s="52">
        <f t="shared" si="110"/>
        <v>699389.7</v>
      </c>
      <c r="AN463" s="51">
        <f t="shared" si="111"/>
        <v>699389.69000000006</v>
      </c>
      <c r="AO463" s="51">
        <f t="shared" si="108"/>
        <v>9.9999998928979039E-3</v>
      </c>
      <c r="AP463" s="125" t="s">
        <v>146</v>
      </c>
      <c r="AQ463" s="52">
        <v>180876.65</v>
      </c>
      <c r="AR463" s="51">
        <v>180876.65</v>
      </c>
      <c r="AS463" s="51">
        <f t="shared" si="106"/>
        <v>0</v>
      </c>
      <c r="AT463" s="126">
        <f t="shared" si="103"/>
        <v>6999.4699999999721</v>
      </c>
      <c r="AU463" s="48"/>
      <c r="AV463" s="46"/>
    </row>
    <row r="464" spans="1:48" ht="24" hidden="1" customHeight="1" x14ac:dyDescent="0.2">
      <c r="A464" s="32">
        <v>636</v>
      </c>
      <c r="B464" s="122" t="s">
        <v>1828</v>
      </c>
      <c r="C464" s="116"/>
      <c r="D464" s="107">
        <v>1312</v>
      </c>
      <c r="E464" s="46" t="s">
        <v>1829</v>
      </c>
      <c r="F464" s="46"/>
      <c r="G464" s="46" t="s">
        <v>1792</v>
      </c>
      <c r="H464" s="33" t="s">
        <v>209</v>
      </c>
      <c r="I464" s="107">
        <v>6132</v>
      </c>
      <c r="J464" s="107"/>
      <c r="K464" s="169">
        <v>2.1</v>
      </c>
      <c r="L464" s="40" t="s">
        <v>1793</v>
      </c>
      <c r="M464" s="147" t="s">
        <v>250</v>
      </c>
      <c r="N464" s="42" t="s">
        <v>76</v>
      </c>
      <c r="O464" s="148" t="s">
        <v>252</v>
      </c>
      <c r="P464" s="46" t="s">
        <v>518</v>
      </c>
      <c r="Q464" s="46" t="s">
        <v>1830</v>
      </c>
      <c r="R464" s="33" t="s">
        <v>1831</v>
      </c>
      <c r="S464" s="45">
        <f t="shared" si="105"/>
        <v>1424934.03</v>
      </c>
      <c r="T464" s="45">
        <v>1424934.03</v>
      </c>
      <c r="U464" s="45">
        <v>0</v>
      </c>
      <c r="V464" s="109" t="s">
        <v>1796</v>
      </c>
      <c r="W464" s="63">
        <v>41997</v>
      </c>
      <c r="X464" s="48"/>
      <c r="Y464" s="109" t="s">
        <v>234</v>
      </c>
      <c r="Z464" s="45"/>
      <c r="AA464" s="45"/>
      <c r="AB464" s="45">
        <f t="shared" si="104"/>
        <v>0</v>
      </c>
      <c r="AC464" s="48"/>
      <c r="AD464" s="63"/>
      <c r="AE464" s="51">
        <f t="shared" si="109"/>
        <v>0</v>
      </c>
      <c r="AF464" s="52">
        <f t="shared" si="112"/>
        <v>12073.760000000009</v>
      </c>
      <c r="AG464" s="52">
        <v>1412860.27</v>
      </c>
      <c r="AH464" s="52">
        <f>423858.08+989002.18</f>
        <v>1412860.26</v>
      </c>
      <c r="AI464" s="52">
        <f t="shared" si="102"/>
        <v>1.0000000009313226E-2</v>
      </c>
      <c r="AJ464" s="124">
        <v>0</v>
      </c>
      <c r="AK464" s="45">
        <v>0</v>
      </c>
      <c r="AL464" s="52">
        <f t="shared" si="107"/>
        <v>0</v>
      </c>
      <c r="AM464" s="52">
        <f t="shared" si="110"/>
        <v>1412860.27</v>
      </c>
      <c r="AN464" s="51">
        <f t="shared" si="111"/>
        <v>1412860.26</v>
      </c>
      <c r="AO464" s="51">
        <f t="shared" si="108"/>
        <v>1.0000000009313226E-2</v>
      </c>
      <c r="AP464" s="125" t="s">
        <v>146</v>
      </c>
      <c r="AQ464" s="52">
        <v>365394.9</v>
      </c>
      <c r="AR464" s="51">
        <v>365394.9</v>
      </c>
      <c r="AS464" s="51">
        <f t="shared" si="106"/>
        <v>0</v>
      </c>
      <c r="AT464" s="126">
        <f t="shared" si="103"/>
        <v>12073.770000000019</v>
      </c>
      <c r="AU464" s="48"/>
      <c r="AV464" s="46"/>
    </row>
    <row r="465" spans="1:54" ht="23.45" hidden="1" customHeight="1" x14ac:dyDescent="0.2">
      <c r="A465" s="32">
        <v>636</v>
      </c>
      <c r="B465" s="122" t="s">
        <v>1832</v>
      </c>
      <c r="C465" s="116"/>
      <c r="D465" s="107">
        <v>1314</v>
      </c>
      <c r="E465" s="46" t="s">
        <v>1833</v>
      </c>
      <c r="F465" s="46" t="s">
        <v>59</v>
      </c>
      <c r="G465" s="46"/>
      <c r="H465" s="33" t="s">
        <v>284</v>
      </c>
      <c r="I465" s="107">
        <v>6132</v>
      </c>
      <c r="J465" s="107"/>
      <c r="K465" s="169">
        <v>2.11</v>
      </c>
      <c r="L465" s="118" t="s">
        <v>1686</v>
      </c>
      <c r="M465" s="147" t="s">
        <v>250</v>
      </c>
      <c r="N465" s="117" t="s">
        <v>1687</v>
      </c>
      <c r="O465" s="148" t="s">
        <v>252</v>
      </c>
      <c r="P465" s="46" t="s">
        <v>804</v>
      </c>
      <c r="Q465" s="46" t="s">
        <v>1834</v>
      </c>
      <c r="R465" s="33" t="s">
        <v>1835</v>
      </c>
      <c r="S465" s="45">
        <f t="shared" si="105"/>
        <v>685397.04</v>
      </c>
      <c r="T465" s="45">
        <f>673363.71-5245.59</f>
        <v>668118.12</v>
      </c>
      <c r="U465" s="45">
        <f>17414.58-135.66</f>
        <v>17278.920000000002</v>
      </c>
      <c r="V465" s="67" t="s">
        <v>1836</v>
      </c>
      <c r="W465" s="47" t="s">
        <v>1837</v>
      </c>
      <c r="X465" s="48"/>
      <c r="Y465" s="109" t="s">
        <v>282</v>
      </c>
      <c r="Z465" s="45">
        <v>17278.919999999998</v>
      </c>
      <c r="AA465" s="45">
        <f>13132.08+3757.82</f>
        <v>16889.900000000001</v>
      </c>
      <c r="AB465" s="45">
        <f t="shared" si="104"/>
        <v>389.0199999999968</v>
      </c>
      <c r="AC465" s="48" t="s">
        <v>93</v>
      </c>
      <c r="AD465" s="63">
        <v>42083</v>
      </c>
      <c r="AE465" s="51">
        <f t="shared" si="109"/>
        <v>0</v>
      </c>
      <c r="AF465" s="52">
        <f t="shared" si="112"/>
        <v>0</v>
      </c>
      <c r="AG465" s="52">
        <v>668118.12</v>
      </c>
      <c r="AH465" s="52">
        <f>200435.44+417415.86</f>
        <v>617851.30000000005</v>
      </c>
      <c r="AI465" s="52">
        <f t="shared" si="102"/>
        <v>50266.819999999949</v>
      </c>
      <c r="AJ465" s="124">
        <v>0</v>
      </c>
      <c r="AK465" s="45">
        <v>0</v>
      </c>
      <c r="AL465" s="52">
        <f t="shared" si="107"/>
        <v>0</v>
      </c>
      <c r="AM465" s="52">
        <f t="shared" si="110"/>
        <v>685397.04</v>
      </c>
      <c r="AN465" s="51">
        <f t="shared" si="111"/>
        <v>634741.20000000007</v>
      </c>
      <c r="AO465" s="51">
        <f t="shared" si="108"/>
        <v>50655.839999999967</v>
      </c>
      <c r="AP465" s="125" t="s">
        <v>146</v>
      </c>
      <c r="AQ465" s="52">
        <v>172789.17</v>
      </c>
      <c r="AR465" s="51">
        <v>154217.68</v>
      </c>
      <c r="AS465" s="51">
        <f t="shared" si="106"/>
        <v>18571.49000000002</v>
      </c>
      <c r="AT465" s="51">
        <f t="shared" si="103"/>
        <v>50655.839999999967</v>
      </c>
      <c r="AU465" s="48"/>
      <c r="AV465" s="46"/>
    </row>
    <row r="466" spans="1:54" ht="30.75" hidden="1" customHeight="1" x14ac:dyDescent="0.2">
      <c r="A466" s="32">
        <v>636</v>
      </c>
      <c r="B466" s="94" t="s">
        <v>1838</v>
      </c>
      <c r="C466" s="116" t="s">
        <v>1839</v>
      </c>
      <c r="D466" s="107"/>
      <c r="E466" s="256" t="s">
        <v>1840</v>
      </c>
      <c r="F466" s="82"/>
      <c r="G466" s="82">
        <v>1</v>
      </c>
      <c r="H466" s="67" t="s">
        <v>1166</v>
      </c>
      <c r="I466" s="158">
        <v>6131</v>
      </c>
      <c r="J466" s="107">
        <v>2</v>
      </c>
      <c r="K466" s="39">
        <v>6</v>
      </c>
      <c r="L466" s="152" t="s">
        <v>1122</v>
      </c>
      <c r="M466" s="153" t="s">
        <v>1123</v>
      </c>
      <c r="N466" s="42" t="s">
        <v>76</v>
      </c>
      <c r="O466" s="117" t="s">
        <v>88</v>
      </c>
      <c r="P466" s="67" t="s">
        <v>1289</v>
      </c>
      <c r="Q466" s="67" t="s">
        <v>253</v>
      </c>
      <c r="R466" s="253" t="s">
        <v>1841</v>
      </c>
      <c r="S466" s="52">
        <f t="shared" si="105"/>
        <v>382939.79</v>
      </c>
      <c r="T466" s="52">
        <v>382939.79</v>
      </c>
      <c r="U466" s="52">
        <v>0</v>
      </c>
      <c r="V466" s="109" t="s">
        <v>1842</v>
      </c>
      <c r="W466" s="154">
        <v>41982</v>
      </c>
      <c r="X466" s="109"/>
      <c r="Y466" s="109" t="s">
        <v>234</v>
      </c>
      <c r="Z466" s="155"/>
      <c r="AA466" s="155"/>
      <c r="AB466" s="45">
        <f t="shared" ref="AB466:AB522" si="113">Z466-AA466</f>
        <v>0</v>
      </c>
      <c r="AC466" s="109"/>
      <c r="AD466" s="154"/>
      <c r="AE466" s="51">
        <f t="shared" si="109"/>
        <v>0</v>
      </c>
      <c r="AF466" s="52">
        <f t="shared" si="112"/>
        <v>1906.3800000000047</v>
      </c>
      <c r="AG466" s="52">
        <v>381033.41</v>
      </c>
      <c r="AH466" s="52">
        <f>190516.71+190516.7</f>
        <v>381033.41000000003</v>
      </c>
      <c r="AI466" s="52">
        <f t="shared" si="102"/>
        <v>-5.8207660913467407E-11</v>
      </c>
      <c r="AJ466" s="163">
        <v>0</v>
      </c>
      <c r="AK466" s="52">
        <v>0</v>
      </c>
      <c r="AL466" s="52">
        <f t="shared" si="107"/>
        <v>0</v>
      </c>
      <c r="AM466" s="52">
        <f t="shared" si="110"/>
        <v>381033.41</v>
      </c>
      <c r="AN466" s="51">
        <f t="shared" si="111"/>
        <v>381033.41000000003</v>
      </c>
      <c r="AO466" s="51">
        <f t="shared" si="108"/>
        <v>0</v>
      </c>
      <c r="AP466" s="125" t="s">
        <v>1241</v>
      </c>
      <c r="AQ466" s="52">
        <v>164238.54</v>
      </c>
      <c r="AR466" s="52">
        <v>164238.54</v>
      </c>
      <c r="AS466" s="51">
        <f t="shared" si="106"/>
        <v>0</v>
      </c>
      <c r="AT466" s="126">
        <f t="shared" si="103"/>
        <v>1906.3799999999464</v>
      </c>
      <c r="AU466" s="109"/>
      <c r="AV466" s="67"/>
      <c r="AW466" s="4"/>
      <c r="AX466" s="4"/>
      <c r="AY466" s="4"/>
      <c r="AZ466" s="4"/>
      <c r="BA466" s="4"/>
      <c r="BB466" s="4"/>
    </row>
    <row r="467" spans="1:54" ht="20.25" hidden="1" customHeight="1" x14ac:dyDescent="0.2">
      <c r="A467" s="32">
        <v>636</v>
      </c>
      <c r="B467" s="94" t="s">
        <v>1838</v>
      </c>
      <c r="C467" s="116" t="s">
        <v>1839</v>
      </c>
      <c r="D467" s="107"/>
      <c r="E467" s="258"/>
      <c r="F467" s="36" t="s">
        <v>27</v>
      </c>
      <c r="G467" s="36">
        <v>1</v>
      </c>
      <c r="H467" s="67" t="s">
        <v>60</v>
      </c>
      <c r="I467" s="158"/>
      <c r="J467" s="107">
        <v>2</v>
      </c>
      <c r="K467" s="39">
        <v>2</v>
      </c>
      <c r="L467" s="157" t="s">
        <v>61</v>
      </c>
      <c r="M467" s="153" t="s">
        <v>1123</v>
      </c>
      <c r="N467" s="42" t="s">
        <v>76</v>
      </c>
      <c r="O467" s="117" t="s">
        <v>88</v>
      </c>
      <c r="P467" s="67" t="s">
        <v>1289</v>
      </c>
      <c r="Q467" s="67" t="s">
        <v>253</v>
      </c>
      <c r="R467" s="255"/>
      <c r="S467" s="45">
        <f t="shared" si="105"/>
        <v>382939.79</v>
      </c>
      <c r="T467" s="52">
        <v>382939.79</v>
      </c>
      <c r="U467" s="155">
        <v>0</v>
      </c>
      <c r="V467" s="109" t="s">
        <v>1842</v>
      </c>
      <c r="W467" s="154">
        <v>41982</v>
      </c>
      <c r="X467" s="109"/>
      <c r="Y467" s="109" t="s">
        <v>234</v>
      </c>
      <c r="Z467" s="155"/>
      <c r="AA467" s="155"/>
      <c r="AB467" s="45">
        <f t="shared" si="113"/>
        <v>0</v>
      </c>
      <c r="AC467" s="109"/>
      <c r="AD467" s="154"/>
      <c r="AE467" s="51">
        <f t="shared" si="109"/>
        <v>0</v>
      </c>
      <c r="AF467" s="52">
        <f t="shared" si="112"/>
        <v>1906.3699999999953</v>
      </c>
      <c r="AG467" s="52">
        <v>381033.42</v>
      </c>
      <c r="AH467" s="52">
        <f>190516.7+190516.71</f>
        <v>381033.41000000003</v>
      </c>
      <c r="AI467" s="52">
        <f t="shared" si="102"/>
        <v>9.9999999511055648E-3</v>
      </c>
      <c r="AJ467" s="124">
        <v>0</v>
      </c>
      <c r="AK467" s="45">
        <v>0</v>
      </c>
      <c r="AL467" s="52">
        <f t="shared" si="107"/>
        <v>0</v>
      </c>
      <c r="AM467" s="52">
        <f t="shared" si="110"/>
        <v>381033.42</v>
      </c>
      <c r="AN467" s="51">
        <f t="shared" si="111"/>
        <v>381033.41000000003</v>
      </c>
      <c r="AO467" s="51">
        <f t="shared" si="108"/>
        <v>9.9999999511055648E-3</v>
      </c>
      <c r="AP467" s="125" t="s">
        <v>1241</v>
      </c>
      <c r="AQ467" s="52">
        <v>164238.54</v>
      </c>
      <c r="AR467" s="52">
        <v>164238.54</v>
      </c>
      <c r="AS467" s="51">
        <f t="shared" si="106"/>
        <v>0</v>
      </c>
      <c r="AT467" s="126">
        <f t="shared" si="103"/>
        <v>1906.3799999999464</v>
      </c>
      <c r="AU467" s="109"/>
      <c r="AV467" s="67"/>
      <c r="AW467" s="4"/>
      <c r="AX467" s="4"/>
      <c r="AY467" s="4"/>
      <c r="AZ467" s="4"/>
      <c r="BA467" s="4"/>
      <c r="BB467" s="4"/>
    </row>
    <row r="468" spans="1:54" ht="24" hidden="1" customHeight="1" x14ac:dyDescent="0.2">
      <c r="A468" s="151">
        <v>639</v>
      </c>
      <c r="B468" s="122" t="s">
        <v>1843</v>
      </c>
      <c r="C468" s="116"/>
      <c r="D468" s="107">
        <v>409</v>
      </c>
      <c r="E468" s="46" t="s">
        <v>1844</v>
      </c>
      <c r="F468" s="46"/>
      <c r="G468" s="46"/>
      <c r="H468" s="33" t="s">
        <v>209</v>
      </c>
      <c r="I468" s="107">
        <v>6222</v>
      </c>
      <c r="J468" s="107"/>
      <c r="K468" s="39">
        <v>2.2999999999999998</v>
      </c>
      <c r="L468" s="40" t="s">
        <v>210</v>
      </c>
      <c r="M468" s="147" t="s">
        <v>75</v>
      </c>
      <c r="N468" s="42" t="s">
        <v>63</v>
      </c>
      <c r="O468" s="41" t="s">
        <v>77</v>
      </c>
      <c r="P468" s="46" t="s">
        <v>443</v>
      </c>
      <c r="Q468" s="46" t="s">
        <v>1845</v>
      </c>
      <c r="R468" s="33" t="s">
        <v>1846</v>
      </c>
      <c r="S468" s="45">
        <f t="shared" si="105"/>
        <v>250000</v>
      </c>
      <c r="T468" s="45">
        <v>250000</v>
      </c>
      <c r="U468" s="45">
        <v>0</v>
      </c>
      <c r="V468" s="109" t="s">
        <v>677</v>
      </c>
      <c r="W468" s="63">
        <v>41870</v>
      </c>
      <c r="X468" s="48"/>
      <c r="Y468" s="109" t="s">
        <v>234</v>
      </c>
      <c r="Z468" s="45"/>
      <c r="AA468" s="45"/>
      <c r="AB468" s="45">
        <f t="shared" si="113"/>
        <v>0</v>
      </c>
      <c r="AC468" s="48"/>
      <c r="AD468" s="63"/>
      <c r="AE468" s="51">
        <f t="shared" si="109"/>
        <v>0</v>
      </c>
      <c r="AF468" s="52">
        <f t="shared" si="112"/>
        <v>10806.619999999995</v>
      </c>
      <c r="AG468" s="52">
        <v>239193.38</v>
      </c>
      <c r="AH468" s="52">
        <f>71758.02+147932.2+19503.16</f>
        <v>239193.38000000003</v>
      </c>
      <c r="AI468" s="52">
        <f t="shared" si="102"/>
        <v>-2.9103830456733704E-11</v>
      </c>
      <c r="AJ468" s="124">
        <v>0</v>
      </c>
      <c r="AK468" s="45">
        <v>0</v>
      </c>
      <c r="AL468" s="52">
        <f t="shared" si="107"/>
        <v>0</v>
      </c>
      <c r="AM468" s="52">
        <f t="shared" si="110"/>
        <v>239193.38</v>
      </c>
      <c r="AN468" s="51">
        <f t="shared" si="111"/>
        <v>239193.38000000003</v>
      </c>
      <c r="AO468" s="51">
        <f t="shared" si="108"/>
        <v>0</v>
      </c>
      <c r="AP468" s="125" t="s">
        <v>83</v>
      </c>
      <c r="AQ468" s="52">
        <v>61860.36</v>
      </c>
      <c r="AR468" s="51">
        <f>54654.75+7205.61</f>
        <v>61860.36</v>
      </c>
      <c r="AS468" s="51">
        <f t="shared" si="106"/>
        <v>0</v>
      </c>
      <c r="AT468" s="126">
        <f t="shared" si="103"/>
        <v>10806.619999999966</v>
      </c>
      <c r="AU468" s="48"/>
      <c r="AV468" s="46"/>
    </row>
    <row r="469" spans="1:54" ht="20.25" hidden="1" customHeight="1" x14ac:dyDescent="0.2">
      <c r="A469" s="64">
        <v>6411</v>
      </c>
      <c r="B469" s="122" t="s">
        <v>1847</v>
      </c>
      <c r="C469" s="116"/>
      <c r="D469" s="107">
        <v>1338</v>
      </c>
      <c r="E469" s="46" t="s">
        <v>1848</v>
      </c>
      <c r="F469" s="46" t="s">
        <v>59</v>
      </c>
      <c r="G469" s="46" t="s">
        <v>1849</v>
      </c>
      <c r="H469" s="105"/>
      <c r="I469" s="107">
        <v>6229</v>
      </c>
      <c r="J469" s="107"/>
      <c r="K469" s="39">
        <v>1</v>
      </c>
      <c r="L469" s="118" t="s">
        <v>1850</v>
      </c>
      <c r="M469" s="147" t="s">
        <v>138</v>
      </c>
      <c r="N469" s="117" t="s">
        <v>139</v>
      </c>
      <c r="O469" s="148" t="s">
        <v>1851</v>
      </c>
      <c r="P469" s="46" t="s">
        <v>518</v>
      </c>
      <c r="Q469" s="46" t="s">
        <v>1852</v>
      </c>
      <c r="R469" s="33" t="s">
        <v>1853</v>
      </c>
      <c r="S469" s="45">
        <f t="shared" si="105"/>
        <v>753612.14</v>
      </c>
      <c r="T469" s="45">
        <f>767823.91-14211.77</f>
        <v>753612.14</v>
      </c>
      <c r="U469" s="45">
        <v>0</v>
      </c>
      <c r="V469" s="67" t="s">
        <v>1854</v>
      </c>
      <c r="W469" s="47" t="s">
        <v>1855</v>
      </c>
      <c r="X469" s="48"/>
      <c r="Y469" s="109" t="s">
        <v>234</v>
      </c>
      <c r="Z469" s="45"/>
      <c r="AA469" s="45"/>
      <c r="AB469" s="45">
        <f t="shared" si="113"/>
        <v>0</v>
      </c>
      <c r="AC469" s="48"/>
      <c r="AD469" s="63"/>
      <c r="AE469" s="51">
        <f t="shared" si="109"/>
        <v>0</v>
      </c>
      <c r="AF469" s="52">
        <f t="shared" si="112"/>
        <v>0</v>
      </c>
      <c r="AG469" s="52">
        <v>753612.14</v>
      </c>
      <c r="AH469" s="52">
        <f>226083.64+527528.5</f>
        <v>753612.14</v>
      </c>
      <c r="AI469" s="52">
        <f t="shared" si="102"/>
        <v>0</v>
      </c>
      <c r="AJ469" s="124">
        <v>0</v>
      </c>
      <c r="AK469" s="45">
        <v>0</v>
      </c>
      <c r="AL469" s="52">
        <f t="shared" si="107"/>
        <v>0</v>
      </c>
      <c r="AM469" s="52">
        <f t="shared" si="110"/>
        <v>753612.14</v>
      </c>
      <c r="AN469" s="51">
        <f t="shared" si="111"/>
        <v>753612.14</v>
      </c>
      <c r="AO469" s="51">
        <f t="shared" si="108"/>
        <v>0</v>
      </c>
      <c r="AP469" s="125" t="s">
        <v>146</v>
      </c>
      <c r="AQ469" s="52">
        <v>194899.69</v>
      </c>
      <c r="AR469" s="51">
        <v>194899.69</v>
      </c>
      <c r="AS469" s="51">
        <f t="shared" si="106"/>
        <v>0</v>
      </c>
      <c r="AT469" s="126">
        <f t="shared" si="103"/>
        <v>0</v>
      </c>
      <c r="AU469" s="48"/>
      <c r="AV469" s="46"/>
    </row>
    <row r="470" spans="1:54" ht="30" hidden="1" customHeight="1" x14ac:dyDescent="0.2">
      <c r="A470" s="32">
        <v>636</v>
      </c>
      <c r="B470" s="122" t="s">
        <v>1856</v>
      </c>
      <c r="C470" s="116"/>
      <c r="D470" s="107">
        <v>1323</v>
      </c>
      <c r="E470" s="46" t="s">
        <v>1857</v>
      </c>
      <c r="F470" s="46"/>
      <c r="G470" s="46" t="s">
        <v>1792</v>
      </c>
      <c r="H470" s="33" t="s">
        <v>209</v>
      </c>
      <c r="I470" s="107">
        <v>6132</v>
      </c>
      <c r="J470" s="107"/>
      <c r="K470" s="169">
        <v>2.1</v>
      </c>
      <c r="L470" s="40" t="s">
        <v>1793</v>
      </c>
      <c r="M470" s="147" t="s">
        <v>250</v>
      </c>
      <c r="N470" s="42" t="s">
        <v>76</v>
      </c>
      <c r="O470" s="148" t="s">
        <v>252</v>
      </c>
      <c r="P470" s="46" t="s">
        <v>518</v>
      </c>
      <c r="Q470" s="46" t="s">
        <v>911</v>
      </c>
      <c r="R470" s="33" t="s">
        <v>1858</v>
      </c>
      <c r="S470" s="45">
        <f t="shared" si="105"/>
        <v>436355.12</v>
      </c>
      <c r="T470" s="45">
        <v>436355.12</v>
      </c>
      <c r="U470" s="45">
        <v>0</v>
      </c>
      <c r="V470" s="109" t="s">
        <v>1796</v>
      </c>
      <c r="W470" s="63">
        <v>41997</v>
      </c>
      <c r="X470" s="48"/>
      <c r="Y470" s="109" t="s">
        <v>234</v>
      </c>
      <c r="Z470" s="45"/>
      <c r="AA470" s="45"/>
      <c r="AB470" s="45">
        <f t="shared" si="113"/>
        <v>0</v>
      </c>
      <c r="AC470" s="48"/>
      <c r="AD470" s="63"/>
      <c r="AE470" s="51">
        <f t="shared" si="109"/>
        <v>0</v>
      </c>
      <c r="AF470" s="52">
        <f t="shared" si="112"/>
        <v>5708.890000000014</v>
      </c>
      <c r="AG470" s="52">
        <v>430646.23</v>
      </c>
      <c r="AH470" s="52">
        <f>129193.87+301452.36</f>
        <v>430646.23</v>
      </c>
      <c r="AI470" s="52">
        <f t="shared" ref="AI470:AI507" si="114">SUM(AG470-AH470)</f>
        <v>0</v>
      </c>
      <c r="AJ470" s="124">
        <v>0</v>
      </c>
      <c r="AK470" s="45">
        <v>0</v>
      </c>
      <c r="AL470" s="52">
        <f t="shared" si="107"/>
        <v>0</v>
      </c>
      <c r="AM470" s="52">
        <f t="shared" si="110"/>
        <v>430646.23</v>
      </c>
      <c r="AN470" s="51">
        <f t="shared" si="111"/>
        <v>430646.23</v>
      </c>
      <c r="AO470" s="51">
        <f t="shared" si="108"/>
        <v>0</v>
      </c>
      <c r="AP470" s="125" t="s">
        <v>146</v>
      </c>
      <c r="AQ470" s="52">
        <v>111374.03</v>
      </c>
      <c r="AR470" s="51">
        <v>111374.03</v>
      </c>
      <c r="AS470" s="51">
        <f t="shared" si="106"/>
        <v>0</v>
      </c>
      <c r="AT470" s="126">
        <f t="shared" ref="AT470:AT507" si="115">SUM(S470-AN470)</f>
        <v>5708.890000000014</v>
      </c>
      <c r="AU470" s="48"/>
      <c r="AV470" s="46"/>
    </row>
    <row r="471" spans="1:54" ht="23.45" hidden="1" customHeight="1" x14ac:dyDescent="0.2">
      <c r="A471" s="32">
        <v>636</v>
      </c>
      <c r="B471" s="122" t="s">
        <v>1859</v>
      </c>
      <c r="C471" s="116"/>
      <c r="D471" s="107">
        <v>1322</v>
      </c>
      <c r="E471" s="46" t="s">
        <v>1860</v>
      </c>
      <c r="F471" s="46"/>
      <c r="G471" s="46"/>
      <c r="H471" s="33" t="s">
        <v>284</v>
      </c>
      <c r="I471" s="107">
        <v>6132</v>
      </c>
      <c r="J471" s="107"/>
      <c r="K471" s="169">
        <v>2.11</v>
      </c>
      <c r="L471" s="118" t="s">
        <v>1686</v>
      </c>
      <c r="M471" s="147" t="s">
        <v>250</v>
      </c>
      <c r="N471" s="117" t="s">
        <v>1687</v>
      </c>
      <c r="O471" s="148" t="s">
        <v>252</v>
      </c>
      <c r="P471" s="46" t="s">
        <v>804</v>
      </c>
      <c r="Q471" s="46" t="s">
        <v>1861</v>
      </c>
      <c r="R471" s="33" t="s">
        <v>1862</v>
      </c>
      <c r="S471" s="45">
        <f t="shared" si="105"/>
        <v>510987.09</v>
      </c>
      <c r="T471" s="45">
        <v>498105.06</v>
      </c>
      <c r="U471" s="45">
        <v>12882.03</v>
      </c>
      <c r="V471" s="109" t="s">
        <v>1863</v>
      </c>
      <c r="W471" s="63">
        <v>41984</v>
      </c>
      <c r="X471" s="48"/>
      <c r="Y471" s="109" t="s">
        <v>282</v>
      </c>
      <c r="Z471" s="45">
        <v>12754.37</v>
      </c>
      <c r="AA471" s="45">
        <v>11600</v>
      </c>
      <c r="AB471" s="45">
        <f t="shared" si="113"/>
        <v>1154.3700000000008</v>
      </c>
      <c r="AC471" s="48" t="s">
        <v>82</v>
      </c>
      <c r="AD471" s="63">
        <v>42074</v>
      </c>
      <c r="AE471" s="51">
        <f t="shared" si="109"/>
        <v>127.65999999999985</v>
      </c>
      <c r="AF471" s="52">
        <f t="shared" si="112"/>
        <v>4936.179999999993</v>
      </c>
      <c r="AG471" s="52">
        <v>493168.88</v>
      </c>
      <c r="AH471" s="52">
        <f>147950.67+345218.21</f>
        <v>493168.88</v>
      </c>
      <c r="AI471" s="52">
        <f t="shared" si="114"/>
        <v>0</v>
      </c>
      <c r="AJ471" s="124">
        <v>0</v>
      </c>
      <c r="AK471" s="45">
        <v>0</v>
      </c>
      <c r="AL471" s="52">
        <f t="shared" si="107"/>
        <v>0</v>
      </c>
      <c r="AM471" s="52">
        <f t="shared" si="110"/>
        <v>505923.25</v>
      </c>
      <c r="AN471" s="51">
        <f t="shared" si="111"/>
        <v>504768.88</v>
      </c>
      <c r="AO471" s="51">
        <f t="shared" si="108"/>
        <v>1154.3699999999953</v>
      </c>
      <c r="AP471" s="125" t="s">
        <v>146</v>
      </c>
      <c r="AQ471" s="52">
        <v>127543.67999999999</v>
      </c>
      <c r="AR471" s="51">
        <v>127543.67999999999</v>
      </c>
      <c r="AS471" s="51">
        <f t="shared" si="106"/>
        <v>0</v>
      </c>
      <c r="AT471" s="126">
        <f t="shared" si="115"/>
        <v>6218.210000000021</v>
      </c>
      <c r="AU471" s="48"/>
      <c r="AV471" s="46"/>
    </row>
    <row r="472" spans="1:54" ht="24.75" hidden="1" x14ac:dyDescent="0.2">
      <c r="A472" s="32">
        <v>636</v>
      </c>
      <c r="B472" s="122" t="s">
        <v>1864</v>
      </c>
      <c r="C472" s="116"/>
      <c r="D472" s="107">
        <v>1321</v>
      </c>
      <c r="E472" s="46" t="s">
        <v>1865</v>
      </c>
      <c r="F472" s="46" t="s">
        <v>59</v>
      </c>
      <c r="G472" s="46"/>
      <c r="H472" s="33" t="s">
        <v>284</v>
      </c>
      <c r="I472" s="107">
        <v>6132</v>
      </c>
      <c r="J472" s="107"/>
      <c r="K472" s="169">
        <v>2.11</v>
      </c>
      <c r="L472" s="118" t="s">
        <v>1686</v>
      </c>
      <c r="M472" s="147" t="s">
        <v>250</v>
      </c>
      <c r="N472" s="117" t="s">
        <v>1687</v>
      </c>
      <c r="O472" s="148" t="s">
        <v>252</v>
      </c>
      <c r="P472" s="44" t="s">
        <v>898</v>
      </c>
      <c r="Q472" s="46" t="s">
        <v>922</v>
      </c>
      <c r="R472" s="33" t="s">
        <v>1866</v>
      </c>
      <c r="S472" s="45">
        <f t="shared" si="105"/>
        <v>815005.43</v>
      </c>
      <c r="T472" s="45">
        <f>800404.27-5944.97</f>
        <v>794459.3</v>
      </c>
      <c r="U472" s="45">
        <f>20700.11-153.98</f>
        <v>20546.13</v>
      </c>
      <c r="V472" s="67" t="s">
        <v>1867</v>
      </c>
      <c r="W472" s="47" t="s">
        <v>1868</v>
      </c>
      <c r="X472" s="48"/>
      <c r="Y472" s="109" t="s">
        <v>1696</v>
      </c>
      <c r="Z472" s="45">
        <v>20546.13</v>
      </c>
      <c r="AA472" s="45">
        <f>10943.4+3096.91+5957.18+202</f>
        <v>20199.489999999998</v>
      </c>
      <c r="AB472" s="45">
        <f t="shared" si="113"/>
        <v>346.64000000000306</v>
      </c>
      <c r="AC472" s="48" t="s">
        <v>102</v>
      </c>
      <c r="AD472" s="63">
        <v>42146</v>
      </c>
      <c r="AE472" s="51">
        <f t="shared" si="109"/>
        <v>0</v>
      </c>
      <c r="AF472" s="52">
        <f t="shared" si="112"/>
        <v>0</v>
      </c>
      <c r="AG472" s="52">
        <v>794459.3</v>
      </c>
      <c r="AH472" s="52">
        <f>238337.79+490525.34+18933.33-18933.33</f>
        <v>728863.13</v>
      </c>
      <c r="AI472" s="52">
        <f t="shared" si="114"/>
        <v>65596.170000000042</v>
      </c>
      <c r="AJ472" s="124">
        <v>0</v>
      </c>
      <c r="AK472" s="45">
        <v>0</v>
      </c>
      <c r="AL472" s="52">
        <f t="shared" si="107"/>
        <v>0</v>
      </c>
      <c r="AM472" s="52">
        <f t="shared" si="110"/>
        <v>815005.43</v>
      </c>
      <c r="AN472" s="51">
        <f t="shared" si="111"/>
        <v>749062.62</v>
      </c>
      <c r="AO472" s="51">
        <f t="shared" si="108"/>
        <v>65942.810000000056</v>
      </c>
      <c r="AP472" s="125" t="s">
        <v>146</v>
      </c>
      <c r="AQ472" s="52">
        <v>205463.61</v>
      </c>
      <c r="AR472" s="51">
        <f>181228.57+24235.04-24235.04</f>
        <v>181228.57</v>
      </c>
      <c r="AS472" s="51">
        <f t="shared" si="106"/>
        <v>24235.039999999979</v>
      </c>
      <c r="AT472" s="51">
        <f t="shared" si="115"/>
        <v>65942.810000000056</v>
      </c>
      <c r="AU472" s="48"/>
      <c r="AV472" s="46"/>
    </row>
    <row r="473" spans="1:54" ht="20.25" hidden="1" customHeight="1" x14ac:dyDescent="0.2">
      <c r="A473" s="32">
        <v>636</v>
      </c>
      <c r="B473" s="72" t="s">
        <v>152</v>
      </c>
      <c r="C473" s="116"/>
      <c r="D473" s="107"/>
      <c r="E473" s="46" t="s">
        <v>1869</v>
      </c>
      <c r="F473" s="46"/>
      <c r="G473" s="46"/>
      <c r="H473" s="105"/>
      <c r="I473" s="107">
        <v>6242</v>
      </c>
      <c r="J473" s="107"/>
      <c r="K473" s="39"/>
      <c r="L473" s="118" t="s">
        <v>1870</v>
      </c>
      <c r="M473" s="147" t="s">
        <v>108</v>
      </c>
      <c r="N473" s="42" t="s">
        <v>76</v>
      </c>
      <c r="O473" s="148"/>
      <c r="P473" s="46" t="s">
        <v>1871</v>
      </c>
      <c r="Q473" s="46" t="s">
        <v>1461</v>
      </c>
      <c r="R473" s="33" t="s">
        <v>1872</v>
      </c>
      <c r="S473" s="45">
        <f t="shared" si="105"/>
        <v>240000</v>
      </c>
      <c r="T473" s="45">
        <v>240000</v>
      </c>
      <c r="U473" s="45">
        <v>0</v>
      </c>
      <c r="V473" s="67" t="s">
        <v>1873</v>
      </c>
      <c r="W473" s="63">
        <v>41932</v>
      </c>
      <c r="X473" s="48"/>
      <c r="Y473" s="109" t="s">
        <v>234</v>
      </c>
      <c r="Z473" s="45"/>
      <c r="AA473" s="45"/>
      <c r="AB473" s="45">
        <f t="shared" si="113"/>
        <v>0</v>
      </c>
      <c r="AC473" s="48"/>
      <c r="AD473" s="63"/>
      <c r="AE473" s="51">
        <f t="shared" si="109"/>
        <v>0</v>
      </c>
      <c r="AF473" s="52">
        <f t="shared" si="112"/>
        <v>31.070000000006985</v>
      </c>
      <c r="AG473" s="52">
        <v>239968.93</v>
      </c>
      <c r="AH473" s="52">
        <f>71990.68+167978.25</f>
        <v>239968.93</v>
      </c>
      <c r="AI473" s="52">
        <f t="shared" si="114"/>
        <v>0</v>
      </c>
      <c r="AJ473" s="124">
        <v>0</v>
      </c>
      <c r="AK473" s="45">
        <v>0</v>
      </c>
      <c r="AL473" s="52">
        <f t="shared" si="107"/>
        <v>0</v>
      </c>
      <c r="AM473" s="52">
        <f t="shared" si="110"/>
        <v>239968.93</v>
      </c>
      <c r="AN473" s="51">
        <f t="shared" si="111"/>
        <v>239968.93</v>
      </c>
      <c r="AO473" s="51">
        <f t="shared" si="108"/>
        <v>0</v>
      </c>
      <c r="AP473" s="125"/>
      <c r="AQ473" s="52">
        <v>62060.93</v>
      </c>
      <c r="AR473" s="51">
        <v>62060.93</v>
      </c>
      <c r="AS473" s="51">
        <f t="shared" si="106"/>
        <v>0</v>
      </c>
      <c r="AT473" s="51">
        <f t="shared" si="115"/>
        <v>31.070000000006985</v>
      </c>
      <c r="AU473" s="48"/>
      <c r="AV473" s="46"/>
    </row>
    <row r="474" spans="1:54" ht="20.25" hidden="1" customHeight="1" x14ac:dyDescent="0.2">
      <c r="A474" s="32">
        <v>636</v>
      </c>
      <c r="B474" s="122" t="s">
        <v>1874</v>
      </c>
      <c r="C474" s="116"/>
      <c r="D474" s="107"/>
      <c r="E474" s="46" t="s">
        <v>1875</v>
      </c>
      <c r="F474" s="46"/>
      <c r="G474" s="46"/>
      <c r="H474" s="105"/>
      <c r="I474" s="107">
        <v>6132</v>
      </c>
      <c r="J474" s="107"/>
      <c r="K474" s="169">
        <v>2.11</v>
      </c>
      <c r="L474" s="118" t="s">
        <v>1686</v>
      </c>
      <c r="M474" s="147" t="s">
        <v>250</v>
      </c>
      <c r="N474" s="117" t="s">
        <v>1687</v>
      </c>
      <c r="O474" s="148" t="s">
        <v>252</v>
      </c>
      <c r="P474" s="46" t="s">
        <v>1420</v>
      </c>
      <c r="Q474" s="46" t="s">
        <v>1876</v>
      </c>
      <c r="R474" s="33" t="s">
        <v>168</v>
      </c>
      <c r="S474" s="45">
        <f t="shared" si="105"/>
        <v>362522.38999999996</v>
      </c>
      <c r="T474" s="45">
        <v>353383.17</v>
      </c>
      <c r="U474" s="45">
        <v>9139.2199999999993</v>
      </c>
      <c r="V474" s="109" t="s">
        <v>1863</v>
      </c>
      <c r="W474" s="63">
        <v>41984</v>
      </c>
      <c r="X474" s="48"/>
      <c r="Y474" s="109" t="s">
        <v>1696</v>
      </c>
      <c r="Z474" s="45"/>
      <c r="AA474" s="45"/>
      <c r="AB474" s="45">
        <f t="shared" si="113"/>
        <v>0</v>
      </c>
      <c r="AC474" s="48"/>
      <c r="AD474" s="63"/>
      <c r="AE474" s="51">
        <f t="shared" si="109"/>
        <v>9139.2199999999993</v>
      </c>
      <c r="AF474" s="52">
        <f t="shared" si="112"/>
        <v>353383.17</v>
      </c>
      <c r="AG474" s="52"/>
      <c r="AH474" s="52"/>
      <c r="AI474" s="52">
        <f t="shared" si="114"/>
        <v>0</v>
      </c>
      <c r="AJ474" s="124">
        <v>0</v>
      </c>
      <c r="AK474" s="45">
        <v>0</v>
      </c>
      <c r="AL474" s="52">
        <f t="shared" si="107"/>
        <v>0</v>
      </c>
      <c r="AM474" s="52">
        <f t="shared" si="110"/>
        <v>0</v>
      </c>
      <c r="AN474" s="51">
        <f t="shared" si="111"/>
        <v>0</v>
      </c>
      <c r="AO474" s="51">
        <f t="shared" si="108"/>
        <v>0</v>
      </c>
      <c r="AP474" s="125"/>
      <c r="AQ474" s="52"/>
      <c r="AR474" s="51"/>
      <c r="AS474" s="51">
        <f t="shared" si="106"/>
        <v>0</v>
      </c>
      <c r="AT474" s="51">
        <f t="shared" si="115"/>
        <v>362522.38999999996</v>
      </c>
      <c r="AU474" s="48"/>
      <c r="AV474" s="46"/>
    </row>
    <row r="475" spans="1:54" ht="20.25" hidden="1" customHeight="1" x14ac:dyDescent="0.2">
      <c r="A475" s="32">
        <v>636</v>
      </c>
      <c r="B475" s="122" t="s">
        <v>1877</v>
      </c>
      <c r="C475" s="116"/>
      <c r="D475" s="107">
        <v>1331</v>
      </c>
      <c r="E475" s="46" t="s">
        <v>1878</v>
      </c>
      <c r="F475" s="46"/>
      <c r="G475" s="46"/>
      <c r="H475" s="105"/>
      <c r="I475" s="107">
        <v>6132</v>
      </c>
      <c r="J475" s="107"/>
      <c r="K475" s="169">
        <v>2.11</v>
      </c>
      <c r="L475" s="118" t="s">
        <v>1686</v>
      </c>
      <c r="M475" s="147" t="s">
        <v>250</v>
      </c>
      <c r="N475" s="117" t="s">
        <v>1687</v>
      </c>
      <c r="O475" s="148" t="s">
        <v>252</v>
      </c>
      <c r="P475" s="46" t="s">
        <v>518</v>
      </c>
      <c r="Q475" s="46" t="s">
        <v>1879</v>
      </c>
      <c r="R475" s="33" t="s">
        <v>168</v>
      </c>
      <c r="S475" s="45">
        <f t="shared" si="105"/>
        <v>637439.77</v>
      </c>
      <c r="T475" s="45">
        <v>621369.86</v>
      </c>
      <c r="U475" s="45">
        <v>16069.91</v>
      </c>
      <c r="V475" s="109" t="s">
        <v>1863</v>
      </c>
      <c r="W475" s="63">
        <v>41984</v>
      </c>
      <c r="X475" s="48"/>
      <c r="Y475" s="109" t="s">
        <v>1696</v>
      </c>
      <c r="Z475" s="45"/>
      <c r="AA475" s="45"/>
      <c r="AB475" s="45">
        <f t="shared" si="113"/>
        <v>0</v>
      </c>
      <c r="AC475" s="48"/>
      <c r="AD475" s="63"/>
      <c r="AE475" s="51">
        <f t="shared" si="109"/>
        <v>16069.91</v>
      </c>
      <c r="AF475" s="52">
        <f t="shared" si="112"/>
        <v>621369.86</v>
      </c>
      <c r="AG475" s="52"/>
      <c r="AH475" s="52"/>
      <c r="AI475" s="52">
        <f t="shared" si="114"/>
        <v>0</v>
      </c>
      <c r="AJ475" s="124">
        <v>0</v>
      </c>
      <c r="AK475" s="45">
        <v>0</v>
      </c>
      <c r="AL475" s="52">
        <f t="shared" si="107"/>
        <v>0</v>
      </c>
      <c r="AM475" s="52">
        <f t="shared" si="110"/>
        <v>0</v>
      </c>
      <c r="AN475" s="51">
        <f t="shared" si="111"/>
        <v>0</v>
      </c>
      <c r="AO475" s="51">
        <f t="shared" si="108"/>
        <v>0</v>
      </c>
      <c r="AP475" s="125"/>
      <c r="AQ475" s="52"/>
      <c r="AR475" s="51"/>
      <c r="AS475" s="51">
        <f t="shared" si="106"/>
        <v>0</v>
      </c>
      <c r="AT475" s="51">
        <f t="shared" si="115"/>
        <v>637439.77</v>
      </c>
      <c r="AU475" s="48"/>
      <c r="AV475" s="46"/>
    </row>
    <row r="476" spans="1:54" ht="23.25" hidden="1" customHeight="1" x14ac:dyDescent="0.2">
      <c r="A476" s="32">
        <v>636</v>
      </c>
      <c r="B476" s="122" t="s">
        <v>1880</v>
      </c>
      <c r="C476" s="116"/>
      <c r="D476" s="107">
        <v>1329</v>
      </c>
      <c r="E476" s="46" t="s">
        <v>1881</v>
      </c>
      <c r="F476" s="46"/>
      <c r="G476" s="46"/>
      <c r="H476" s="33" t="s">
        <v>284</v>
      </c>
      <c r="I476" s="107">
        <v>6132</v>
      </c>
      <c r="J476" s="107"/>
      <c r="K476" s="169">
        <v>2.11</v>
      </c>
      <c r="L476" s="118" t="s">
        <v>1686</v>
      </c>
      <c r="M476" s="147" t="s">
        <v>250</v>
      </c>
      <c r="N476" s="117" t="s">
        <v>1687</v>
      </c>
      <c r="O476" s="148" t="s">
        <v>252</v>
      </c>
      <c r="P476" s="46" t="s">
        <v>1882</v>
      </c>
      <c r="Q476" s="46" t="s">
        <v>1167</v>
      </c>
      <c r="R476" s="33" t="s">
        <v>1883</v>
      </c>
      <c r="S476" s="45">
        <f t="shared" si="105"/>
        <v>793097.28</v>
      </c>
      <c r="T476" s="45">
        <v>773103.23</v>
      </c>
      <c r="U476" s="45">
        <v>19994.05</v>
      </c>
      <c r="V476" s="109" t="s">
        <v>1863</v>
      </c>
      <c r="W476" s="63">
        <v>41984</v>
      </c>
      <c r="X476" s="48"/>
      <c r="Y476" s="109" t="s">
        <v>1696</v>
      </c>
      <c r="Z476" s="45">
        <v>19959.45</v>
      </c>
      <c r="AA476" s="45"/>
      <c r="AB476" s="45">
        <f t="shared" si="113"/>
        <v>19959.45</v>
      </c>
      <c r="AC476" s="48"/>
      <c r="AD476" s="63"/>
      <c r="AE476" s="51">
        <f t="shared" si="109"/>
        <v>34.599999999998545</v>
      </c>
      <c r="AF476" s="52">
        <f t="shared" si="112"/>
        <v>1337.7800000000279</v>
      </c>
      <c r="AG476" s="52">
        <v>771765.45</v>
      </c>
      <c r="AH476" s="52">
        <v>231529.63</v>
      </c>
      <c r="AI476" s="52">
        <f t="shared" si="114"/>
        <v>540235.81999999995</v>
      </c>
      <c r="AJ476" s="124">
        <v>0</v>
      </c>
      <c r="AK476" s="45">
        <v>0</v>
      </c>
      <c r="AL476" s="52">
        <f t="shared" si="107"/>
        <v>0</v>
      </c>
      <c r="AM476" s="52">
        <f t="shared" si="110"/>
        <v>791724.89999999991</v>
      </c>
      <c r="AN476" s="51">
        <f t="shared" si="111"/>
        <v>231529.63</v>
      </c>
      <c r="AO476" s="51">
        <f t="shared" si="108"/>
        <v>560195.2699999999</v>
      </c>
      <c r="AP476" s="125" t="s">
        <v>146</v>
      </c>
      <c r="AQ476" s="52">
        <v>199594.51</v>
      </c>
      <c r="AR476" s="51"/>
      <c r="AS476" s="51">
        <f t="shared" si="106"/>
        <v>199594.51</v>
      </c>
      <c r="AT476" s="51">
        <f t="shared" si="115"/>
        <v>561567.65</v>
      </c>
      <c r="AU476" s="48"/>
      <c r="AV476" s="46"/>
    </row>
    <row r="477" spans="1:54" ht="26.25" hidden="1" customHeight="1" x14ac:dyDescent="0.2">
      <c r="A477" s="32">
        <v>636</v>
      </c>
      <c r="B477" s="122" t="s">
        <v>1884</v>
      </c>
      <c r="C477" s="116"/>
      <c r="D477" s="107">
        <v>1334</v>
      </c>
      <c r="E477" s="46" t="s">
        <v>1885</v>
      </c>
      <c r="F477" s="37" t="s">
        <v>59</v>
      </c>
      <c r="G477" s="46"/>
      <c r="H477" s="33" t="s">
        <v>284</v>
      </c>
      <c r="I477" s="107">
        <v>6132</v>
      </c>
      <c r="J477" s="107"/>
      <c r="K477" s="169">
        <v>2.11</v>
      </c>
      <c r="L477" s="118" t="s">
        <v>1686</v>
      </c>
      <c r="M477" s="147" t="s">
        <v>250</v>
      </c>
      <c r="N477" s="117" t="s">
        <v>1687</v>
      </c>
      <c r="O477" s="148" t="s">
        <v>252</v>
      </c>
      <c r="P477" s="46" t="s">
        <v>1420</v>
      </c>
      <c r="Q477" s="46" t="s">
        <v>1886</v>
      </c>
      <c r="R477" s="33" t="s">
        <v>1887</v>
      </c>
      <c r="S477" s="45">
        <f t="shared" si="105"/>
        <v>967327.08000000007</v>
      </c>
      <c r="T477" s="45">
        <f>946842.18-3901.5</f>
        <v>942940.68</v>
      </c>
      <c r="U477" s="45">
        <f>24487.3-100.9</f>
        <v>24386.399999999998</v>
      </c>
      <c r="V477" s="67" t="s">
        <v>1888</v>
      </c>
      <c r="W477" s="47" t="s">
        <v>1868</v>
      </c>
      <c r="X477" s="48"/>
      <c r="Y477" s="109" t="s">
        <v>1696</v>
      </c>
      <c r="Z477" s="45">
        <v>24386.400000000001</v>
      </c>
      <c r="AA477" s="45">
        <f>7714+7660.38+9012.02-9012.02+3000+1856+3665.6+92.8</f>
        <v>23988.78</v>
      </c>
      <c r="AB477" s="45">
        <f t="shared" si="113"/>
        <v>397.62000000000262</v>
      </c>
      <c r="AC477" s="48" t="s">
        <v>93</v>
      </c>
      <c r="AD477" s="63">
        <v>42341</v>
      </c>
      <c r="AE477" s="51">
        <f t="shared" si="109"/>
        <v>0</v>
      </c>
      <c r="AF477" s="52">
        <f t="shared" si="112"/>
        <v>0</v>
      </c>
      <c r="AG477" s="52">
        <v>942940.68</v>
      </c>
      <c r="AH477" s="52">
        <f>282882.21+413279.41+246779.06</f>
        <v>942940.67999999993</v>
      </c>
      <c r="AI477" s="52">
        <f t="shared" si="114"/>
        <v>1.1641532182693481E-10</v>
      </c>
      <c r="AJ477" s="124">
        <v>0</v>
      </c>
      <c r="AK477" s="45">
        <v>0</v>
      </c>
      <c r="AL477" s="52">
        <f t="shared" si="107"/>
        <v>0</v>
      </c>
      <c r="AM477" s="52">
        <f t="shared" si="110"/>
        <v>967327.08000000007</v>
      </c>
      <c r="AN477" s="51">
        <f t="shared" si="111"/>
        <v>966929.46</v>
      </c>
      <c r="AO477" s="51">
        <f t="shared" si="108"/>
        <v>397.62000000011176</v>
      </c>
      <c r="AP477" s="125" t="s">
        <v>146</v>
      </c>
      <c r="AQ477" s="52">
        <v>243863.97</v>
      </c>
      <c r="AR477" s="51">
        <f>152689.44+91174.53</f>
        <v>243863.97</v>
      </c>
      <c r="AS477" s="51">
        <f t="shared" si="106"/>
        <v>0</v>
      </c>
      <c r="AT477" s="126">
        <f t="shared" si="115"/>
        <v>397.62000000011176</v>
      </c>
      <c r="AU477" s="48"/>
      <c r="AV477" s="46"/>
    </row>
    <row r="478" spans="1:54" ht="27" hidden="1" x14ac:dyDescent="0.2">
      <c r="A478" s="32">
        <v>636</v>
      </c>
      <c r="B478" s="122" t="s">
        <v>1889</v>
      </c>
      <c r="C478" s="116"/>
      <c r="D478" s="107">
        <v>1324</v>
      </c>
      <c r="E478" s="46" t="s">
        <v>1890</v>
      </c>
      <c r="F478" s="46"/>
      <c r="G478" s="46"/>
      <c r="H478" s="33" t="s">
        <v>764</v>
      </c>
      <c r="I478" s="107">
        <v>6122</v>
      </c>
      <c r="J478" s="107"/>
      <c r="K478" s="39">
        <v>2.2000000000000002</v>
      </c>
      <c r="L478" s="40" t="s">
        <v>765</v>
      </c>
      <c r="M478" s="147" t="s">
        <v>278</v>
      </c>
      <c r="N478" s="42" t="s">
        <v>63</v>
      </c>
      <c r="O478" s="148" t="s">
        <v>279</v>
      </c>
      <c r="P478" s="46" t="s">
        <v>141</v>
      </c>
      <c r="Q478" s="46" t="s">
        <v>937</v>
      </c>
      <c r="R478" s="33" t="s">
        <v>1891</v>
      </c>
      <c r="S478" s="45">
        <f t="shared" si="105"/>
        <v>497680.37</v>
      </c>
      <c r="T478" s="45">
        <v>485133.81</v>
      </c>
      <c r="U478" s="45">
        <v>12546.56</v>
      </c>
      <c r="V478" s="109" t="s">
        <v>1892</v>
      </c>
      <c r="W478" s="63">
        <v>41984</v>
      </c>
      <c r="X478" s="48"/>
      <c r="Y478" s="109" t="s">
        <v>1696</v>
      </c>
      <c r="Z478" s="45">
        <v>12388.82</v>
      </c>
      <c r="AA478" s="45"/>
      <c r="AB478" s="45">
        <f t="shared" si="113"/>
        <v>12388.82</v>
      </c>
      <c r="AC478" s="48"/>
      <c r="AD478" s="63"/>
      <c r="AE478" s="51">
        <f t="shared" si="109"/>
        <v>157.73999999999978</v>
      </c>
      <c r="AF478" s="52">
        <f t="shared" si="112"/>
        <v>6099.4400000000023</v>
      </c>
      <c r="AG478" s="52">
        <v>479034.37</v>
      </c>
      <c r="AH478" s="52">
        <v>479034.37</v>
      </c>
      <c r="AI478" s="52">
        <f t="shared" si="114"/>
        <v>0</v>
      </c>
      <c r="AJ478" s="124">
        <v>0</v>
      </c>
      <c r="AK478" s="45">
        <v>0</v>
      </c>
      <c r="AL478" s="52">
        <f t="shared" si="107"/>
        <v>0</v>
      </c>
      <c r="AM478" s="52">
        <f t="shared" si="110"/>
        <v>491423.19</v>
      </c>
      <c r="AN478" s="51">
        <f t="shared" si="111"/>
        <v>479034.37</v>
      </c>
      <c r="AO478" s="51">
        <f t="shared" si="108"/>
        <v>12388.820000000007</v>
      </c>
      <c r="AP478" s="125" t="s">
        <v>1812</v>
      </c>
      <c r="AQ478" s="52"/>
      <c r="AR478" s="51"/>
      <c r="AS478" s="51">
        <f t="shared" si="106"/>
        <v>0</v>
      </c>
      <c r="AT478" s="126">
        <f t="shared" si="115"/>
        <v>18646</v>
      </c>
      <c r="AU478" s="48"/>
      <c r="AV478" s="46"/>
    </row>
    <row r="479" spans="1:54" ht="28.5" hidden="1" customHeight="1" x14ac:dyDescent="0.2">
      <c r="A479" s="32">
        <v>636</v>
      </c>
      <c r="B479" s="122" t="s">
        <v>1893</v>
      </c>
      <c r="C479" s="116"/>
      <c r="D479" s="107">
        <v>1430</v>
      </c>
      <c r="E479" s="46" t="s">
        <v>1894</v>
      </c>
      <c r="F479" s="37" t="s">
        <v>59</v>
      </c>
      <c r="G479" s="46"/>
      <c r="H479" s="105"/>
      <c r="I479" s="107">
        <v>6223</v>
      </c>
      <c r="J479" s="107"/>
      <c r="K479" s="140">
        <v>1.2</v>
      </c>
      <c r="L479" s="118" t="s">
        <v>650</v>
      </c>
      <c r="M479" s="147" t="s">
        <v>117</v>
      </c>
      <c r="N479" s="42" t="s">
        <v>63</v>
      </c>
      <c r="O479" s="148" t="s">
        <v>118</v>
      </c>
      <c r="P479" s="46" t="s">
        <v>518</v>
      </c>
      <c r="Q479" s="46" t="s">
        <v>1895</v>
      </c>
      <c r="R479" s="33" t="s">
        <v>1896</v>
      </c>
      <c r="S479" s="45">
        <f t="shared" si="105"/>
        <v>1212332.6299999999</v>
      </c>
      <c r="T479" s="45">
        <f>1222733.46-10400.83</f>
        <v>1212332.6299999999</v>
      </c>
      <c r="U479" s="45">
        <v>0</v>
      </c>
      <c r="V479" s="67" t="s">
        <v>1897</v>
      </c>
      <c r="W479" s="47" t="s">
        <v>1898</v>
      </c>
      <c r="X479" s="48"/>
      <c r="Y479" s="109" t="s">
        <v>234</v>
      </c>
      <c r="Z479" s="45"/>
      <c r="AA479" s="45"/>
      <c r="AB479" s="45">
        <f t="shared" si="113"/>
        <v>0</v>
      </c>
      <c r="AC479" s="48"/>
      <c r="AD479" s="63"/>
      <c r="AE479" s="51">
        <f t="shared" si="109"/>
        <v>0</v>
      </c>
      <c r="AF479" s="52">
        <f t="shared" si="112"/>
        <v>0</v>
      </c>
      <c r="AG479" s="52">
        <v>1212332.6299999999</v>
      </c>
      <c r="AH479" s="52">
        <f>606166.32+325934.56+280231.75</f>
        <v>1212332.6299999999</v>
      </c>
      <c r="AI479" s="52">
        <f t="shared" si="114"/>
        <v>0</v>
      </c>
      <c r="AJ479" s="124">
        <v>0</v>
      </c>
      <c r="AK479" s="45">
        <v>0</v>
      </c>
      <c r="AL479" s="52">
        <f t="shared" si="107"/>
        <v>0</v>
      </c>
      <c r="AM479" s="52">
        <f t="shared" si="110"/>
        <v>1212332.6299999999</v>
      </c>
      <c r="AN479" s="51">
        <f t="shared" si="111"/>
        <v>1212332.6299999999</v>
      </c>
      <c r="AO479" s="51">
        <f t="shared" si="108"/>
        <v>0</v>
      </c>
      <c r="AP479" s="125" t="s">
        <v>205</v>
      </c>
      <c r="AQ479" s="52">
        <v>522557.17</v>
      </c>
      <c r="AR479" s="51">
        <f>280978.07+241579.1</f>
        <v>522557.17000000004</v>
      </c>
      <c r="AS479" s="51">
        <f t="shared" si="106"/>
        <v>-5.8207660913467407E-11</v>
      </c>
      <c r="AT479" s="126">
        <f t="shared" si="115"/>
        <v>0</v>
      </c>
      <c r="AU479" s="48"/>
      <c r="AV479" s="46"/>
    </row>
    <row r="480" spans="1:54" ht="32.25" hidden="1" customHeight="1" x14ac:dyDescent="0.2">
      <c r="A480" s="32">
        <v>636</v>
      </c>
      <c r="B480" s="122" t="s">
        <v>1899</v>
      </c>
      <c r="C480" s="116"/>
      <c r="D480" s="107">
        <v>1326</v>
      </c>
      <c r="E480" s="46" t="s">
        <v>1900</v>
      </c>
      <c r="F480" s="46"/>
      <c r="G480" s="46" t="s">
        <v>1901</v>
      </c>
      <c r="H480" s="33" t="s">
        <v>1902</v>
      </c>
      <c r="I480" s="107">
        <v>6122</v>
      </c>
      <c r="J480" s="107"/>
      <c r="K480" s="39"/>
      <c r="L480" s="118" t="s">
        <v>1903</v>
      </c>
      <c r="M480" s="147" t="s">
        <v>278</v>
      </c>
      <c r="N480" s="42" t="s">
        <v>63</v>
      </c>
      <c r="O480" s="148" t="s">
        <v>1904</v>
      </c>
      <c r="P480" s="46" t="s">
        <v>1576</v>
      </c>
      <c r="Q480" s="46" t="s">
        <v>1428</v>
      </c>
      <c r="R480" s="33" t="s">
        <v>1905</v>
      </c>
      <c r="S480" s="45">
        <f t="shared" si="105"/>
        <v>1531977.59</v>
      </c>
      <c r="T480" s="45">
        <v>1506011.87</v>
      </c>
      <c r="U480" s="45">
        <v>25965.72</v>
      </c>
      <c r="V480" s="109" t="s">
        <v>1906</v>
      </c>
      <c r="W480" s="63">
        <v>41984</v>
      </c>
      <c r="X480" s="48"/>
      <c r="Y480" s="109" t="s">
        <v>234</v>
      </c>
      <c r="Z480" s="45"/>
      <c r="AA480" s="45"/>
      <c r="AB480" s="45">
        <f t="shared" si="113"/>
        <v>0</v>
      </c>
      <c r="AC480" s="48"/>
      <c r="AD480" s="63"/>
      <c r="AE480" s="51">
        <f t="shared" si="109"/>
        <v>25965.72</v>
      </c>
      <c r="AF480" s="52">
        <f t="shared" si="112"/>
        <v>12707.620000000112</v>
      </c>
      <c r="AG480" s="52">
        <v>1493304.25</v>
      </c>
      <c r="AH480" s="52">
        <f>746652.13+746652.12</f>
        <v>1493304.25</v>
      </c>
      <c r="AI480" s="52">
        <f t="shared" si="114"/>
        <v>0</v>
      </c>
      <c r="AJ480" s="124">
        <v>0</v>
      </c>
      <c r="AK480" s="45">
        <v>0</v>
      </c>
      <c r="AL480" s="52">
        <f t="shared" si="107"/>
        <v>0</v>
      </c>
      <c r="AM480" s="52">
        <f t="shared" si="110"/>
        <v>1493304.25</v>
      </c>
      <c r="AN480" s="51">
        <f t="shared" si="111"/>
        <v>1493304.25</v>
      </c>
      <c r="AO480" s="51">
        <f t="shared" si="108"/>
        <v>0</v>
      </c>
      <c r="AP480" s="125"/>
      <c r="AQ480" s="52">
        <v>643665.63</v>
      </c>
      <c r="AR480" s="51">
        <v>643665.63</v>
      </c>
      <c r="AS480" s="51">
        <f t="shared" si="106"/>
        <v>0</v>
      </c>
      <c r="AT480" s="126">
        <f t="shared" si="115"/>
        <v>38673.340000000084</v>
      </c>
      <c r="AU480" s="48"/>
      <c r="AV480" s="46"/>
    </row>
    <row r="481" spans="1:48" ht="20.25" hidden="1" customHeight="1" x14ac:dyDescent="0.2">
      <c r="A481" s="151">
        <v>639</v>
      </c>
      <c r="B481" s="122" t="s">
        <v>1907</v>
      </c>
      <c r="C481" s="116"/>
      <c r="D481" s="107"/>
      <c r="E481" s="46" t="s">
        <v>1908</v>
      </c>
      <c r="F481" s="46"/>
      <c r="G481" s="46" t="s">
        <v>1799</v>
      </c>
      <c r="H481" s="33" t="s">
        <v>209</v>
      </c>
      <c r="I481" s="107">
        <v>6222</v>
      </c>
      <c r="J481" s="107"/>
      <c r="K481" s="39">
        <v>2.2999999999999998</v>
      </c>
      <c r="L481" s="40" t="s">
        <v>210</v>
      </c>
      <c r="M481" s="147" t="s">
        <v>1560</v>
      </c>
      <c r="N481" s="42" t="s">
        <v>76</v>
      </c>
      <c r="O481" s="41" t="s">
        <v>77</v>
      </c>
      <c r="P481" s="46" t="s">
        <v>1909</v>
      </c>
      <c r="Q481" s="46" t="s">
        <v>1910</v>
      </c>
      <c r="R481" s="33" t="s">
        <v>1911</v>
      </c>
      <c r="S481" s="45">
        <f t="shared" ref="S481:S514" si="116">T481+U481</f>
        <v>2007483.85</v>
      </c>
      <c r="T481" s="45">
        <v>2007483.85</v>
      </c>
      <c r="U481" s="45">
        <v>0</v>
      </c>
      <c r="V481" s="109" t="s">
        <v>1912</v>
      </c>
      <c r="W481" s="63">
        <v>41957</v>
      </c>
      <c r="X481" s="48"/>
      <c r="Y481" s="109" t="s">
        <v>1913</v>
      </c>
      <c r="Z481" s="45"/>
      <c r="AA481" s="45"/>
      <c r="AB481" s="45">
        <f t="shared" si="113"/>
        <v>0</v>
      </c>
      <c r="AC481" s="48"/>
      <c r="AD481" s="63"/>
      <c r="AE481" s="51">
        <f t="shared" si="109"/>
        <v>0</v>
      </c>
      <c r="AF481" s="52">
        <f t="shared" si="112"/>
        <v>11871.780000000028</v>
      </c>
      <c r="AG481" s="52">
        <v>1995612.07</v>
      </c>
      <c r="AH481" s="52">
        <f>598683.62+1396928.45</f>
        <v>1995612.0699999998</v>
      </c>
      <c r="AI481" s="52">
        <f t="shared" si="114"/>
        <v>2.3283064365386963E-10</v>
      </c>
      <c r="AJ481" s="124">
        <v>0</v>
      </c>
      <c r="AK481" s="45">
        <v>0</v>
      </c>
      <c r="AL481" s="52">
        <f t="shared" si="107"/>
        <v>0</v>
      </c>
      <c r="AM481" s="52">
        <f t="shared" si="110"/>
        <v>1995612.07</v>
      </c>
      <c r="AN481" s="51">
        <f t="shared" si="111"/>
        <v>1995612.0699999998</v>
      </c>
      <c r="AO481" s="51">
        <f t="shared" si="108"/>
        <v>0</v>
      </c>
      <c r="AP481" s="125" t="s">
        <v>1296</v>
      </c>
      <c r="AQ481" s="52">
        <v>516106.57</v>
      </c>
      <c r="AR481" s="51">
        <v>516106.57</v>
      </c>
      <c r="AS481" s="51">
        <f t="shared" si="106"/>
        <v>0</v>
      </c>
      <c r="AT481" s="126">
        <f t="shared" si="115"/>
        <v>11871.780000000261</v>
      </c>
      <c r="AU481" s="48"/>
      <c r="AV481" s="46"/>
    </row>
    <row r="482" spans="1:48" ht="20.25" hidden="1" customHeight="1" x14ac:dyDescent="0.2">
      <c r="A482" s="170">
        <v>636</v>
      </c>
      <c r="B482" s="171" t="s">
        <v>1914</v>
      </c>
      <c r="C482" s="116"/>
      <c r="D482" s="107"/>
      <c r="E482" s="172" t="s">
        <v>1915</v>
      </c>
      <c r="F482" s="172"/>
      <c r="G482" s="46"/>
      <c r="H482" s="171" t="s">
        <v>226</v>
      </c>
      <c r="I482" s="107">
        <v>6142</v>
      </c>
      <c r="J482" s="107"/>
      <c r="K482" s="39"/>
      <c r="L482" s="173" t="s">
        <v>1800</v>
      </c>
      <c r="M482" s="174" t="s">
        <v>1434</v>
      </c>
      <c r="N482" s="42" t="s">
        <v>76</v>
      </c>
      <c r="O482" s="175" t="s">
        <v>1916</v>
      </c>
      <c r="P482" s="176" t="s">
        <v>212</v>
      </c>
      <c r="Q482" s="172" t="s">
        <v>1917</v>
      </c>
      <c r="R482" s="171" t="s">
        <v>1918</v>
      </c>
      <c r="S482" s="45">
        <f t="shared" si="116"/>
        <v>1165276.19</v>
      </c>
      <c r="T482" s="136">
        <f>1135899.48+29376.71</f>
        <v>1165276.19</v>
      </c>
      <c r="U482" s="136">
        <v>0</v>
      </c>
      <c r="V482" s="138" t="s">
        <v>1919</v>
      </c>
      <c r="W482" s="177" t="s">
        <v>1920</v>
      </c>
      <c r="X482" s="48"/>
      <c r="Y482" s="178" t="s">
        <v>165</v>
      </c>
      <c r="Z482" s="136">
        <f>100454.84-100454.84</f>
        <v>0</v>
      </c>
      <c r="AA482" s="136"/>
      <c r="AB482" s="136">
        <f t="shared" si="113"/>
        <v>0</v>
      </c>
      <c r="AC482" s="48"/>
      <c r="AD482" s="63"/>
      <c r="AE482" s="51">
        <f>U482-Z482</f>
        <v>0</v>
      </c>
      <c r="AF482" s="52">
        <f t="shared" si="112"/>
        <v>0</v>
      </c>
      <c r="AG482" s="136">
        <f>3884253.98-2718977.79</f>
        <v>1165276.19</v>
      </c>
      <c r="AH482" s="136">
        <v>1165276.19</v>
      </c>
      <c r="AI482" s="137">
        <f t="shared" si="114"/>
        <v>0</v>
      </c>
      <c r="AJ482" s="124">
        <v>0</v>
      </c>
      <c r="AK482" s="45">
        <v>0</v>
      </c>
      <c r="AL482" s="52">
        <f>+AJ482-AK482</f>
        <v>0</v>
      </c>
      <c r="AM482" s="52">
        <f>SUM(AG482+Z482)+AJ482</f>
        <v>1165276.19</v>
      </c>
      <c r="AN482" s="51">
        <f>SUM(AA482+AH482)+AK482</f>
        <v>1165276.19</v>
      </c>
      <c r="AO482" s="51">
        <f>+AM482-AN482</f>
        <v>0</v>
      </c>
      <c r="AP482" s="125"/>
      <c r="AQ482" s="136">
        <v>1004548.44</v>
      </c>
      <c r="AR482" s="179">
        <f>196131.66+160361.38+81732.18+167003.23+217661.26+181658.73</f>
        <v>1004548.4400000001</v>
      </c>
      <c r="AS482" s="180">
        <f>SUM(AQ482-AR482)</f>
        <v>-1.1641532182693481E-10</v>
      </c>
      <c r="AT482" s="126">
        <f t="shared" si="115"/>
        <v>0</v>
      </c>
      <c r="AU482" s="48"/>
      <c r="AV482" s="46"/>
    </row>
    <row r="483" spans="1:48" ht="32.450000000000003" hidden="1" customHeight="1" x14ac:dyDescent="0.2">
      <c r="A483" s="170">
        <v>636</v>
      </c>
      <c r="B483" s="171" t="s">
        <v>1914</v>
      </c>
      <c r="C483" s="116"/>
      <c r="D483" s="107"/>
      <c r="E483" s="172" t="s">
        <v>1921</v>
      </c>
      <c r="F483" s="172" t="s">
        <v>59</v>
      </c>
      <c r="G483" s="46"/>
      <c r="H483" s="33"/>
      <c r="I483" s="107">
        <v>6142</v>
      </c>
      <c r="J483" s="107"/>
      <c r="K483" s="39"/>
      <c r="L483" s="173" t="s">
        <v>1922</v>
      </c>
      <c r="M483" s="174" t="s">
        <v>1434</v>
      </c>
      <c r="N483" s="42" t="s">
        <v>76</v>
      </c>
      <c r="O483" s="175" t="s">
        <v>1916</v>
      </c>
      <c r="P483" s="176" t="s">
        <v>212</v>
      </c>
      <c r="Q483" s="172" t="s">
        <v>1917</v>
      </c>
      <c r="R483" s="171" t="s">
        <v>1918</v>
      </c>
      <c r="S483" s="45">
        <f t="shared" si="116"/>
        <v>2789208.4</v>
      </c>
      <c r="T483" s="136">
        <f>2763260.18-44282.39</f>
        <v>2718977.79</v>
      </c>
      <c r="U483" s="136">
        <f>71463.63-1233.02</f>
        <v>70230.61</v>
      </c>
      <c r="V483" s="138" t="s">
        <v>1923</v>
      </c>
      <c r="W483" s="177" t="s">
        <v>1924</v>
      </c>
      <c r="X483" s="48"/>
      <c r="Y483" s="178" t="s">
        <v>165</v>
      </c>
      <c r="Z483" s="136">
        <f>70318.39-87.78</f>
        <v>70230.61</v>
      </c>
      <c r="AA483" s="136">
        <f>13132.08+13132.08+13132.08+13920+4723.37+8091+2900+1200</f>
        <v>70230.61</v>
      </c>
      <c r="AB483" s="136">
        <f>Z483-AA483</f>
        <v>0</v>
      </c>
      <c r="AC483" s="179" t="s">
        <v>102</v>
      </c>
      <c r="AD483" s="181">
        <v>42165</v>
      </c>
      <c r="AE483" s="51">
        <f>U483-Z483</f>
        <v>0</v>
      </c>
      <c r="AF483" s="52">
        <f t="shared" si="112"/>
        <v>0</v>
      </c>
      <c r="AG483" s="136">
        <v>2718977.79</v>
      </c>
      <c r="AH483" s="137">
        <f>530863.03+434044.79+221221.77+452022.08+589136.46+491689.66</f>
        <v>2718977.79</v>
      </c>
      <c r="AI483" s="137">
        <f t="shared" si="114"/>
        <v>0</v>
      </c>
      <c r="AJ483" s="124">
        <v>0</v>
      </c>
      <c r="AK483" s="45">
        <v>0</v>
      </c>
      <c r="AL483" s="52">
        <f>+AJ483-AK483</f>
        <v>0</v>
      </c>
      <c r="AM483" s="52">
        <f>SUM(AG483+Z483)+AJ483</f>
        <v>2789208.4</v>
      </c>
      <c r="AN483" s="51">
        <f>SUM(AA483+AH483)+AK483</f>
        <v>2789208.4</v>
      </c>
      <c r="AO483" s="51">
        <f>+AM483-AN483</f>
        <v>0</v>
      </c>
      <c r="AP483" s="125"/>
      <c r="AQ483" s="52"/>
      <c r="AR483" s="51"/>
      <c r="AS483" s="180">
        <f>SUM(AQ483-AR483)</f>
        <v>0</v>
      </c>
      <c r="AT483" s="126">
        <f t="shared" si="115"/>
        <v>0</v>
      </c>
      <c r="AU483" s="48"/>
      <c r="AV483" s="46"/>
    </row>
    <row r="484" spans="1:48" ht="33.75" hidden="1" x14ac:dyDescent="0.2">
      <c r="A484" s="32">
        <v>636</v>
      </c>
      <c r="B484" s="122" t="s">
        <v>1925</v>
      </c>
      <c r="C484" s="116"/>
      <c r="D484" s="107">
        <v>1325</v>
      </c>
      <c r="E484" s="46" t="s">
        <v>1926</v>
      </c>
      <c r="F484" s="37" t="s">
        <v>59</v>
      </c>
      <c r="G484" s="46"/>
      <c r="H484" s="105"/>
      <c r="I484" s="107">
        <v>6223</v>
      </c>
      <c r="J484" s="107"/>
      <c r="K484" s="140">
        <v>1.2</v>
      </c>
      <c r="L484" s="118" t="s">
        <v>650</v>
      </c>
      <c r="M484" s="147" t="s">
        <v>117</v>
      </c>
      <c r="N484" s="42" t="s">
        <v>63</v>
      </c>
      <c r="O484" s="148" t="s">
        <v>1449</v>
      </c>
      <c r="P484" s="46" t="s">
        <v>229</v>
      </c>
      <c r="Q484" s="46" t="s">
        <v>1927</v>
      </c>
      <c r="R484" s="33" t="s">
        <v>1928</v>
      </c>
      <c r="S484" s="45">
        <f t="shared" si="116"/>
        <v>1184033.3900000001</v>
      </c>
      <c r="T484" s="45">
        <f>1194337.06-10303.67</f>
        <v>1184033.3900000001</v>
      </c>
      <c r="U484" s="45">
        <v>0</v>
      </c>
      <c r="V484" s="67" t="s">
        <v>1929</v>
      </c>
      <c r="W484" s="47" t="s">
        <v>1930</v>
      </c>
      <c r="X484" s="48"/>
      <c r="Y484" s="109" t="s">
        <v>1913</v>
      </c>
      <c r="Z484" s="45"/>
      <c r="AA484" s="45"/>
      <c r="AB484" s="45">
        <f t="shared" si="113"/>
        <v>0</v>
      </c>
      <c r="AC484" s="48"/>
      <c r="AD484" s="63"/>
      <c r="AE484" s="51">
        <f t="shared" si="109"/>
        <v>0</v>
      </c>
      <c r="AF484" s="52">
        <f t="shared" si="112"/>
        <v>2.3283064365386963E-10</v>
      </c>
      <c r="AG484" s="52">
        <v>1184033.3899999999</v>
      </c>
      <c r="AH484" s="52">
        <f>592016.7+434534.26+157482.43</f>
        <v>1184033.3899999999</v>
      </c>
      <c r="AI484" s="52">
        <f t="shared" si="114"/>
        <v>0</v>
      </c>
      <c r="AJ484" s="124">
        <v>0</v>
      </c>
      <c r="AK484" s="45">
        <v>0</v>
      </c>
      <c r="AL484" s="52">
        <f t="shared" si="107"/>
        <v>0</v>
      </c>
      <c r="AM484" s="52">
        <f t="shared" si="110"/>
        <v>1184033.3899999999</v>
      </c>
      <c r="AN484" s="51">
        <f t="shared" si="111"/>
        <v>1184033.3899999999</v>
      </c>
      <c r="AO484" s="51">
        <f t="shared" si="108"/>
        <v>0</v>
      </c>
      <c r="AP484" s="125" t="s">
        <v>205</v>
      </c>
      <c r="AQ484" s="52">
        <v>510359.22</v>
      </c>
      <c r="AR484" s="51">
        <f>374598.51+135760.71</f>
        <v>510359.22</v>
      </c>
      <c r="AS484" s="51">
        <f t="shared" si="106"/>
        <v>0</v>
      </c>
      <c r="AT484" s="126">
        <f t="shared" si="115"/>
        <v>2.3283064365386963E-10</v>
      </c>
      <c r="AU484" s="48"/>
      <c r="AV484" s="46"/>
    </row>
    <row r="485" spans="1:48" ht="31.5" hidden="1" customHeight="1" x14ac:dyDescent="0.2">
      <c r="A485" s="151">
        <v>639</v>
      </c>
      <c r="B485" s="122" t="s">
        <v>1931</v>
      </c>
      <c r="C485" s="116"/>
      <c r="D485" s="107">
        <v>1305</v>
      </c>
      <c r="E485" s="46" t="s">
        <v>1932</v>
      </c>
      <c r="F485" s="46"/>
      <c r="G485" s="46" t="s">
        <v>427</v>
      </c>
      <c r="H485" s="33" t="s">
        <v>576</v>
      </c>
      <c r="I485" s="107">
        <v>6222</v>
      </c>
      <c r="J485" s="107"/>
      <c r="K485" s="39" t="s">
        <v>577</v>
      </c>
      <c r="L485" s="40" t="s">
        <v>1027</v>
      </c>
      <c r="M485" s="147" t="s">
        <v>75</v>
      </c>
      <c r="N485" s="42" t="s">
        <v>76</v>
      </c>
      <c r="O485" s="41" t="s">
        <v>77</v>
      </c>
      <c r="P485" s="46" t="s">
        <v>428</v>
      </c>
      <c r="Q485" s="46" t="s">
        <v>1933</v>
      </c>
      <c r="R485" s="33" t="s">
        <v>1934</v>
      </c>
      <c r="S485" s="45">
        <f t="shared" si="116"/>
        <v>684121.46</v>
      </c>
      <c r="T485" s="45">
        <v>684121.46</v>
      </c>
      <c r="U485" s="45">
        <v>0</v>
      </c>
      <c r="V485" s="109" t="s">
        <v>1935</v>
      </c>
      <c r="W485" s="63">
        <v>41995</v>
      </c>
      <c r="X485" s="48"/>
      <c r="Y485" s="109" t="s">
        <v>1913</v>
      </c>
      <c r="Z485" s="45"/>
      <c r="AA485" s="45"/>
      <c r="AB485" s="45">
        <f t="shared" si="113"/>
        <v>0</v>
      </c>
      <c r="AC485" s="48"/>
      <c r="AD485" s="63"/>
      <c r="AE485" s="51">
        <f t="shared" si="109"/>
        <v>0</v>
      </c>
      <c r="AF485" s="52">
        <f t="shared" si="112"/>
        <v>3316.1699999999255</v>
      </c>
      <c r="AG485" s="52">
        <v>680805.29</v>
      </c>
      <c r="AH485" s="52">
        <f>204241.58+377802.31+98761.39</f>
        <v>680805.28</v>
      </c>
      <c r="AI485" s="52">
        <f t="shared" si="114"/>
        <v>1.0000000009313226E-2</v>
      </c>
      <c r="AJ485" s="124">
        <v>0</v>
      </c>
      <c r="AK485" s="45">
        <v>0</v>
      </c>
      <c r="AL485" s="52">
        <f t="shared" si="107"/>
        <v>0</v>
      </c>
      <c r="AM485" s="52">
        <f t="shared" si="110"/>
        <v>680805.29</v>
      </c>
      <c r="AN485" s="51">
        <f t="shared" si="111"/>
        <v>680805.28</v>
      </c>
      <c r="AO485" s="51">
        <f t="shared" si="108"/>
        <v>1.0000000009313226E-2</v>
      </c>
      <c r="AP485" s="125" t="s">
        <v>146</v>
      </c>
      <c r="AQ485" s="52">
        <v>176070.33</v>
      </c>
      <c r="AR485" s="51">
        <f>139582.13+36488.2</f>
        <v>176070.33000000002</v>
      </c>
      <c r="AS485" s="51">
        <f t="shared" si="106"/>
        <v>-2.9103830456733704E-11</v>
      </c>
      <c r="AT485" s="126">
        <f t="shared" si="115"/>
        <v>3316.1799999999348</v>
      </c>
      <c r="AU485" s="48"/>
      <c r="AV485" s="46"/>
    </row>
    <row r="486" spans="1:48" ht="20.25" hidden="1" customHeight="1" x14ac:dyDescent="0.2">
      <c r="A486" s="32">
        <v>636</v>
      </c>
      <c r="B486" s="122" t="s">
        <v>1936</v>
      </c>
      <c r="C486" s="116"/>
      <c r="D486" s="107">
        <v>1327</v>
      </c>
      <c r="E486" s="46" t="s">
        <v>1937</v>
      </c>
      <c r="F486" s="46"/>
      <c r="G486" s="46"/>
      <c r="H486" s="33" t="s">
        <v>608</v>
      </c>
      <c r="I486" s="107">
        <v>6132</v>
      </c>
      <c r="J486" s="107"/>
      <c r="K486" s="39">
        <v>2</v>
      </c>
      <c r="L486" s="40" t="s">
        <v>61</v>
      </c>
      <c r="M486" s="147" t="s">
        <v>250</v>
      </c>
      <c r="N486" s="117" t="s">
        <v>1687</v>
      </c>
      <c r="O486" s="148" t="s">
        <v>252</v>
      </c>
      <c r="P486" s="46" t="s">
        <v>104</v>
      </c>
      <c r="Q486" s="46" t="s">
        <v>1834</v>
      </c>
      <c r="R486" s="33" t="s">
        <v>1938</v>
      </c>
      <c r="S486" s="45">
        <f t="shared" si="116"/>
        <v>227709.15</v>
      </c>
      <c r="T486" s="45">
        <v>227709.15</v>
      </c>
      <c r="U486" s="45">
        <v>0</v>
      </c>
      <c r="V486" s="109" t="s">
        <v>1939</v>
      </c>
      <c r="W486" s="63">
        <v>42004</v>
      </c>
      <c r="X486" s="48"/>
      <c r="Y486" s="109" t="s">
        <v>1913</v>
      </c>
      <c r="Z486" s="45"/>
      <c r="AA486" s="45"/>
      <c r="AB486" s="45">
        <f t="shared" si="113"/>
        <v>0</v>
      </c>
      <c r="AC486" s="48"/>
      <c r="AD486" s="63"/>
      <c r="AE486" s="51">
        <f t="shared" si="109"/>
        <v>0</v>
      </c>
      <c r="AF486" s="52">
        <f t="shared" si="112"/>
        <v>2413.2299999999814</v>
      </c>
      <c r="AG486" s="52">
        <v>225295.92</v>
      </c>
      <c r="AH486" s="52">
        <f>67588.78+157707.14</f>
        <v>225295.92</v>
      </c>
      <c r="AI486" s="52">
        <f t="shared" si="114"/>
        <v>0</v>
      </c>
      <c r="AJ486" s="124">
        <v>0</v>
      </c>
      <c r="AK486" s="45">
        <v>0</v>
      </c>
      <c r="AL486" s="52">
        <f t="shared" si="107"/>
        <v>0</v>
      </c>
      <c r="AM486" s="52">
        <f t="shared" si="110"/>
        <v>225295.92</v>
      </c>
      <c r="AN486" s="51">
        <f t="shared" si="111"/>
        <v>225295.92</v>
      </c>
      <c r="AO486" s="51">
        <f t="shared" si="108"/>
        <v>0</v>
      </c>
      <c r="AP486" s="125" t="s">
        <v>83</v>
      </c>
      <c r="AQ486" s="52">
        <v>58266.19</v>
      </c>
      <c r="AR486" s="51">
        <v>58266.19</v>
      </c>
      <c r="AS486" s="51">
        <f t="shared" si="106"/>
        <v>0</v>
      </c>
      <c r="AT486" s="126">
        <f t="shared" si="115"/>
        <v>2413.2299999999814</v>
      </c>
      <c r="AU486" s="48"/>
      <c r="AV486" s="46"/>
    </row>
    <row r="487" spans="1:48" ht="20.25" hidden="1" customHeight="1" x14ac:dyDescent="0.2">
      <c r="A487" s="151">
        <v>639</v>
      </c>
      <c r="B487" s="122" t="s">
        <v>1940</v>
      </c>
      <c r="C487" s="116"/>
      <c r="D487" s="107">
        <v>1300</v>
      </c>
      <c r="E487" s="46" t="s">
        <v>1941</v>
      </c>
      <c r="F487" s="46"/>
      <c r="G487" s="46"/>
      <c r="H487" s="33" t="s">
        <v>209</v>
      </c>
      <c r="I487" s="107">
        <v>6222</v>
      </c>
      <c r="J487" s="107"/>
      <c r="K487" s="39">
        <v>2.2999999999999998</v>
      </c>
      <c r="L487" s="40" t="s">
        <v>210</v>
      </c>
      <c r="M487" s="147" t="s">
        <v>1560</v>
      </c>
      <c r="N487" s="42" t="s">
        <v>76</v>
      </c>
      <c r="O487" s="41" t="s">
        <v>77</v>
      </c>
      <c r="P487" s="46" t="s">
        <v>109</v>
      </c>
      <c r="Q487" s="46" t="s">
        <v>420</v>
      </c>
      <c r="R487" s="33" t="s">
        <v>1942</v>
      </c>
      <c r="S487" s="45">
        <f t="shared" si="116"/>
        <v>450000</v>
      </c>
      <c r="T487" s="45">
        <v>450000</v>
      </c>
      <c r="U487" s="45">
        <v>0</v>
      </c>
      <c r="V487" s="109" t="s">
        <v>1943</v>
      </c>
      <c r="W487" s="63">
        <v>41989</v>
      </c>
      <c r="X487" s="48"/>
      <c r="Y487" s="109" t="s">
        <v>1913</v>
      </c>
      <c r="Z487" s="45"/>
      <c r="AA487" s="45"/>
      <c r="AB487" s="45">
        <f t="shared" si="113"/>
        <v>0</v>
      </c>
      <c r="AC487" s="48"/>
      <c r="AD487" s="63"/>
      <c r="AE487" s="51">
        <f t="shared" si="109"/>
        <v>0</v>
      </c>
      <c r="AF487" s="52">
        <f t="shared" si="112"/>
        <v>2564.3400000000256</v>
      </c>
      <c r="AG487" s="52">
        <v>447435.66</v>
      </c>
      <c r="AH487" s="52">
        <f>134230.7+77578.25+94982.49+140644.22</f>
        <v>447435.66000000003</v>
      </c>
      <c r="AI487" s="52">
        <f t="shared" si="114"/>
        <v>-5.8207660913467407E-11</v>
      </c>
      <c r="AJ487" s="124">
        <v>0</v>
      </c>
      <c r="AK487" s="45">
        <v>0</v>
      </c>
      <c r="AL487" s="52">
        <f t="shared" si="107"/>
        <v>0</v>
      </c>
      <c r="AM487" s="52">
        <f t="shared" si="110"/>
        <v>447435.66</v>
      </c>
      <c r="AN487" s="51">
        <f t="shared" si="111"/>
        <v>447435.66000000003</v>
      </c>
      <c r="AO487" s="51">
        <f t="shared" si="108"/>
        <v>0</v>
      </c>
      <c r="AP487" s="125" t="s">
        <v>83</v>
      </c>
      <c r="AQ487" s="52">
        <v>115716.12</v>
      </c>
      <c r="AR487" s="51">
        <f>28661.92+35092.06+51962.14</f>
        <v>115716.12</v>
      </c>
      <c r="AS487" s="51">
        <f t="shared" si="106"/>
        <v>0</v>
      </c>
      <c r="AT487" s="126">
        <f t="shared" si="115"/>
        <v>2564.3399999999674</v>
      </c>
      <c r="AU487" s="48"/>
      <c r="AV487" s="46"/>
    </row>
    <row r="488" spans="1:48" ht="24.75" hidden="1" x14ac:dyDescent="0.2">
      <c r="A488" s="151">
        <v>639</v>
      </c>
      <c r="B488" s="122" t="s">
        <v>1944</v>
      </c>
      <c r="C488" s="116"/>
      <c r="D488" s="107">
        <v>1306</v>
      </c>
      <c r="E488" s="46" t="s">
        <v>1945</v>
      </c>
      <c r="F488" s="37" t="s">
        <v>59</v>
      </c>
      <c r="G488" s="46" t="s">
        <v>763</v>
      </c>
      <c r="H488" s="33" t="s">
        <v>576</v>
      </c>
      <c r="I488" s="107">
        <v>6222</v>
      </c>
      <c r="J488" s="107"/>
      <c r="K488" s="39" t="s">
        <v>577</v>
      </c>
      <c r="L488" s="40" t="s">
        <v>1027</v>
      </c>
      <c r="M488" s="147" t="s">
        <v>1560</v>
      </c>
      <c r="N488" s="42" t="s">
        <v>76</v>
      </c>
      <c r="O488" s="41" t="s">
        <v>77</v>
      </c>
      <c r="P488" s="46" t="s">
        <v>104</v>
      </c>
      <c r="Q488" s="46" t="s">
        <v>1443</v>
      </c>
      <c r="R488" s="33" t="s">
        <v>1946</v>
      </c>
      <c r="S488" s="45">
        <f t="shared" si="116"/>
        <v>245766.72</v>
      </c>
      <c r="T488" s="45">
        <f>249718.24-3951.52</f>
        <v>245766.72</v>
      </c>
      <c r="U488" s="45">
        <v>0</v>
      </c>
      <c r="V488" s="67" t="s">
        <v>1947</v>
      </c>
      <c r="W488" s="47" t="s">
        <v>1948</v>
      </c>
      <c r="X488" s="48"/>
      <c r="Y488" s="109" t="s">
        <v>1913</v>
      </c>
      <c r="Z488" s="45"/>
      <c r="AA488" s="45"/>
      <c r="AB488" s="45">
        <f t="shared" si="113"/>
        <v>0</v>
      </c>
      <c r="AC488" s="48"/>
      <c r="AD488" s="63"/>
      <c r="AE488" s="51">
        <f t="shared" si="109"/>
        <v>0</v>
      </c>
      <c r="AF488" s="52">
        <f t="shared" si="112"/>
        <v>0</v>
      </c>
      <c r="AG488" s="52">
        <v>245766.72</v>
      </c>
      <c r="AH488" s="52">
        <f>73730.02+172036.7</f>
        <v>245766.72000000003</v>
      </c>
      <c r="AI488" s="52">
        <f t="shared" si="114"/>
        <v>-2.9103830456733704E-11</v>
      </c>
      <c r="AJ488" s="124">
        <v>0</v>
      </c>
      <c r="AK488" s="45">
        <v>0</v>
      </c>
      <c r="AL488" s="52">
        <f t="shared" si="107"/>
        <v>0</v>
      </c>
      <c r="AM488" s="52">
        <f t="shared" si="110"/>
        <v>245766.72</v>
      </c>
      <c r="AN488" s="51">
        <f t="shared" si="111"/>
        <v>245766.72000000003</v>
      </c>
      <c r="AO488" s="51">
        <f t="shared" si="108"/>
        <v>0</v>
      </c>
      <c r="AP488" s="125" t="s">
        <v>1812</v>
      </c>
      <c r="AQ488" s="52">
        <v>63560.36</v>
      </c>
      <c r="AR488" s="51">
        <v>63560.36</v>
      </c>
      <c r="AS488" s="51">
        <f t="shared" si="106"/>
        <v>0</v>
      </c>
      <c r="AT488" s="126">
        <f t="shared" si="115"/>
        <v>-2.9103830456733704E-11</v>
      </c>
      <c r="AU488" s="48"/>
      <c r="AV488" s="46"/>
    </row>
    <row r="489" spans="1:48" ht="20.25" hidden="1" customHeight="1" x14ac:dyDescent="0.2">
      <c r="A489" s="32">
        <v>636</v>
      </c>
      <c r="B489" s="122" t="s">
        <v>1949</v>
      </c>
      <c r="C489" s="116"/>
      <c r="D489" s="107">
        <v>1313</v>
      </c>
      <c r="E489" s="46" t="s">
        <v>1950</v>
      </c>
      <c r="F489" s="46"/>
      <c r="G489" s="46"/>
      <c r="H489" s="33" t="s">
        <v>809</v>
      </c>
      <c r="I489" s="107">
        <v>6142</v>
      </c>
      <c r="J489" s="107"/>
      <c r="K489" s="39">
        <v>3</v>
      </c>
      <c r="L489" s="118" t="s">
        <v>810</v>
      </c>
      <c r="M489" s="147" t="s">
        <v>117</v>
      </c>
      <c r="N489" s="62" t="s">
        <v>811</v>
      </c>
      <c r="O489" s="148" t="s">
        <v>1467</v>
      </c>
      <c r="P489" s="46" t="s">
        <v>98</v>
      </c>
      <c r="Q489" s="46" t="s">
        <v>979</v>
      </c>
      <c r="R489" s="33" t="s">
        <v>1951</v>
      </c>
      <c r="S489" s="45">
        <f t="shared" si="116"/>
        <v>6200000</v>
      </c>
      <c r="T489" s="45">
        <v>6200000</v>
      </c>
      <c r="U489" s="45">
        <v>0</v>
      </c>
      <c r="V489" s="109" t="s">
        <v>1952</v>
      </c>
      <c r="W489" s="63">
        <v>41978</v>
      </c>
      <c r="X489" s="48"/>
      <c r="Y489" s="109" t="s">
        <v>1913</v>
      </c>
      <c r="Z489" s="45"/>
      <c r="AA489" s="45"/>
      <c r="AB489" s="45">
        <f t="shared" si="113"/>
        <v>0</v>
      </c>
      <c r="AC489" s="48"/>
      <c r="AD489" s="63"/>
      <c r="AE489" s="51">
        <f t="shared" si="109"/>
        <v>0</v>
      </c>
      <c r="AF489" s="52">
        <f t="shared" si="112"/>
        <v>25350.790000000037</v>
      </c>
      <c r="AG489" s="52">
        <v>6174649.21</v>
      </c>
      <c r="AH489" s="52">
        <f>3087324.61+256998.59+2830326.01</f>
        <v>6174649.209999999</v>
      </c>
      <c r="AI489" s="52">
        <f t="shared" si="114"/>
        <v>9.3132257461547852E-10</v>
      </c>
      <c r="AJ489" s="124">
        <v>0</v>
      </c>
      <c r="AK489" s="45">
        <v>0</v>
      </c>
      <c r="AL489" s="52">
        <f t="shared" si="107"/>
        <v>0</v>
      </c>
      <c r="AM489" s="52">
        <f t="shared" si="110"/>
        <v>6174649.21</v>
      </c>
      <c r="AN489" s="51">
        <f t="shared" si="111"/>
        <v>6174649.209999999</v>
      </c>
      <c r="AO489" s="51">
        <f t="shared" si="108"/>
        <v>0</v>
      </c>
      <c r="AP489" s="125"/>
      <c r="AQ489" s="52">
        <v>2661486.73</v>
      </c>
      <c r="AR489" s="51">
        <f>221550.51+2439936.22</f>
        <v>2661486.7300000004</v>
      </c>
      <c r="AS489" s="51">
        <f t="shared" si="106"/>
        <v>-4.6566128730773926E-10</v>
      </c>
      <c r="AT489" s="126">
        <f t="shared" si="115"/>
        <v>25350.790000000969</v>
      </c>
      <c r="AU489" s="48"/>
      <c r="AV489" s="46"/>
    </row>
    <row r="490" spans="1:48" s="187" customFormat="1" ht="26.25" hidden="1" customHeight="1" x14ac:dyDescent="0.2">
      <c r="A490" s="32">
        <v>636</v>
      </c>
      <c r="B490" s="122" t="s">
        <v>1953</v>
      </c>
      <c r="C490" s="116"/>
      <c r="D490" s="107">
        <v>1368</v>
      </c>
      <c r="E490" s="46" t="s">
        <v>1954</v>
      </c>
      <c r="F490" s="46"/>
      <c r="G490" s="46"/>
      <c r="H490" s="33" t="s">
        <v>284</v>
      </c>
      <c r="I490" s="107">
        <v>6132</v>
      </c>
      <c r="J490" s="107" t="s">
        <v>27</v>
      </c>
      <c r="K490" s="169">
        <v>2.11</v>
      </c>
      <c r="L490" s="118" t="s">
        <v>1686</v>
      </c>
      <c r="M490" s="147" t="s">
        <v>250</v>
      </c>
      <c r="N490" s="117" t="s">
        <v>1687</v>
      </c>
      <c r="O490" s="148" t="s">
        <v>252</v>
      </c>
      <c r="P490" s="46" t="s">
        <v>518</v>
      </c>
      <c r="Q490" s="46" t="s">
        <v>1955</v>
      </c>
      <c r="R490" s="33" t="s">
        <v>1956</v>
      </c>
      <c r="S490" s="45">
        <f t="shared" si="116"/>
        <v>539998.16</v>
      </c>
      <c r="T490" s="45">
        <v>526384.76</v>
      </c>
      <c r="U490" s="45">
        <v>13613.4</v>
      </c>
      <c r="V490" s="109" t="s">
        <v>1957</v>
      </c>
      <c r="W490" s="63">
        <v>41997</v>
      </c>
      <c r="X490" s="48"/>
      <c r="Y490" s="109" t="s">
        <v>282</v>
      </c>
      <c r="Z490" s="45">
        <v>13422.62</v>
      </c>
      <c r="AA490" s="45"/>
      <c r="AB490" s="45">
        <f t="shared" si="113"/>
        <v>13422.62</v>
      </c>
      <c r="AC490" s="48"/>
      <c r="AD490" s="63"/>
      <c r="AE490" s="51">
        <f t="shared" si="109"/>
        <v>190.77999999999884</v>
      </c>
      <c r="AF490" s="52">
        <f t="shared" si="112"/>
        <v>7376.7600000000093</v>
      </c>
      <c r="AG490" s="52">
        <v>519008</v>
      </c>
      <c r="AH490" s="52">
        <v>155702.39999999999</v>
      </c>
      <c r="AI490" s="52">
        <f t="shared" si="114"/>
        <v>363305.6</v>
      </c>
      <c r="AJ490" s="124">
        <v>0</v>
      </c>
      <c r="AK490" s="45">
        <v>0</v>
      </c>
      <c r="AL490" s="52">
        <f t="shared" si="107"/>
        <v>0</v>
      </c>
      <c r="AM490" s="52">
        <f t="shared" si="110"/>
        <v>532430.62</v>
      </c>
      <c r="AN490" s="51">
        <f t="shared" si="111"/>
        <v>155702.39999999999</v>
      </c>
      <c r="AO490" s="182">
        <f t="shared" si="108"/>
        <v>376728.22</v>
      </c>
      <c r="AP490" s="183" t="s">
        <v>105</v>
      </c>
      <c r="AQ490" s="184">
        <v>134226.21</v>
      </c>
      <c r="AR490" s="182"/>
      <c r="AS490" s="182">
        <f t="shared" si="106"/>
        <v>134226.21</v>
      </c>
      <c r="AT490" s="51">
        <f t="shared" si="115"/>
        <v>384295.76</v>
      </c>
      <c r="AU490" s="185"/>
      <c r="AV490" s="186"/>
    </row>
    <row r="491" spans="1:48" ht="24.75" hidden="1" x14ac:dyDescent="0.2">
      <c r="A491" s="32">
        <v>636</v>
      </c>
      <c r="B491" s="122" t="s">
        <v>1958</v>
      </c>
      <c r="C491" s="116"/>
      <c r="D491" s="107">
        <v>1370</v>
      </c>
      <c r="E491" s="46" t="s">
        <v>1959</v>
      </c>
      <c r="F491" s="46"/>
      <c r="G491" s="46"/>
      <c r="H491" s="33" t="s">
        <v>284</v>
      </c>
      <c r="I491" s="107">
        <v>6132</v>
      </c>
      <c r="J491" s="107"/>
      <c r="K491" s="169">
        <v>2.11</v>
      </c>
      <c r="L491" s="118" t="s">
        <v>1686</v>
      </c>
      <c r="M491" s="147" t="s">
        <v>250</v>
      </c>
      <c r="N491" s="117" t="s">
        <v>1687</v>
      </c>
      <c r="O491" s="148" t="s">
        <v>252</v>
      </c>
      <c r="P491" s="46" t="s">
        <v>331</v>
      </c>
      <c r="Q491" s="46" t="s">
        <v>1960</v>
      </c>
      <c r="R491" s="33" t="s">
        <v>1961</v>
      </c>
      <c r="S491" s="45">
        <f t="shared" si="116"/>
        <v>340098.11000000004</v>
      </c>
      <c r="T491" s="45">
        <v>331524.21000000002</v>
      </c>
      <c r="U491" s="45">
        <v>8573.9</v>
      </c>
      <c r="V491" s="109" t="s">
        <v>1957</v>
      </c>
      <c r="W491" s="63">
        <v>41997</v>
      </c>
      <c r="X491" s="48"/>
      <c r="Y491" s="109" t="s">
        <v>282</v>
      </c>
      <c r="Z491" s="45">
        <v>8449.67</v>
      </c>
      <c r="AA491" s="45">
        <f>8200-8200</f>
        <v>0</v>
      </c>
      <c r="AB491" s="45">
        <f t="shared" si="113"/>
        <v>8449.67</v>
      </c>
      <c r="AC491" s="48" t="s">
        <v>93</v>
      </c>
      <c r="AD491" s="63">
        <v>42248</v>
      </c>
      <c r="AE491" s="51">
        <f t="shared" si="109"/>
        <v>124.22999999999956</v>
      </c>
      <c r="AF491" s="52">
        <f t="shared" si="112"/>
        <v>4803.4800000000396</v>
      </c>
      <c r="AG491" s="52">
        <v>326720.73</v>
      </c>
      <c r="AH491" s="52">
        <f>98016.22+205776.02</f>
        <v>303792.24</v>
      </c>
      <c r="AI491" s="52">
        <f t="shared" si="114"/>
        <v>22928.489999999991</v>
      </c>
      <c r="AJ491" s="124">
        <v>0</v>
      </c>
      <c r="AK491" s="45">
        <v>0</v>
      </c>
      <c r="AL491" s="52">
        <f t="shared" si="107"/>
        <v>0</v>
      </c>
      <c r="AM491" s="52">
        <f t="shared" si="110"/>
        <v>335170.39999999997</v>
      </c>
      <c r="AN491" s="51">
        <f t="shared" si="111"/>
        <v>303792.24</v>
      </c>
      <c r="AO491" s="51">
        <f t="shared" si="108"/>
        <v>31378.159999999974</v>
      </c>
      <c r="AP491" s="125" t="s">
        <v>105</v>
      </c>
      <c r="AQ491" s="52">
        <v>84496.74</v>
      </c>
      <c r="AR491" s="51">
        <v>76025.62</v>
      </c>
      <c r="AS491" s="51">
        <f t="shared" si="106"/>
        <v>8471.1200000000099</v>
      </c>
      <c r="AT491" s="51">
        <f t="shared" si="115"/>
        <v>36305.870000000054</v>
      </c>
      <c r="AU491" s="48"/>
      <c r="AV491" s="46"/>
    </row>
    <row r="492" spans="1:48" ht="27.75" hidden="1" customHeight="1" x14ac:dyDescent="0.2">
      <c r="A492" s="32">
        <v>636</v>
      </c>
      <c r="B492" s="122" t="s">
        <v>1962</v>
      </c>
      <c r="C492" s="116"/>
      <c r="D492" s="107">
        <v>1369</v>
      </c>
      <c r="E492" s="46" t="s">
        <v>1963</v>
      </c>
      <c r="F492" s="46"/>
      <c r="G492" s="46"/>
      <c r="H492" s="33" t="s">
        <v>284</v>
      </c>
      <c r="I492" s="107">
        <v>6132</v>
      </c>
      <c r="J492" s="107"/>
      <c r="K492" s="169">
        <v>2.11</v>
      </c>
      <c r="L492" s="118" t="s">
        <v>1686</v>
      </c>
      <c r="M492" s="147" t="s">
        <v>250</v>
      </c>
      <c r="N492" s="117" t="s">
        <v>1687</v>
      </c>
      <c r="O492" s="148" t="s">
        <v>252</v>
      </c>
      <c r="P492" s="46" t="s">
        <v>109</v>
      </c>
      <c r="Q492" s="46" t="s">
        <v>1964</v>
      </c>
      <c r="R492" s="33" t="s">
        <v>1965</v>
      </c>
      <c r="S492" s="45">
        <f t="shared" si="116"/>
        <v>255967.06</v>
      </c>
      <c r="T492" s="45">
        <v>249514.11</v>
      </c>
      <c r="U492" s="45">
        <v>6452.95</v>
      </c>
      <c r="V492" s="109" t="s">
        <v>1957</v>
      </c>
      <c r="W492" s="63">
        <v>41997</v>
      </c>
      <c r="X492" s="48"/>
      <c r="Y492" s="109" t="s">
        <v>282</v>
      </c>
      <c r="Z492" s="45">
        <v>6366.16</v>
      </c>
      <c r="AA492" s="45">
        <f>6200-6200</f>
        <v>0</v>
      </c>
      <c r="AB492" s="45">
        <f t="shared" si="113"/>
        <v>6366.16</v>
      </c>
      <c r="AC492" s="48" t="s">
        <v>93</v>
      </c>
      <c r="AD492" s="63">
        <v>42248</v>
      </c>
      <c r="AE492" s="51">
        <f t="shared" si="109"/>
        <v>86.789999999999964</v>
      </c>
      <c r="AF492" s="52">
        <f t="shared" si="112"/>
        <v>3355.8999999999942</v>
      </c>
      <c r="AG492" s="52">
        <v>246158.21</v>
      </c>
      <c r="AH492" s="52">
        <f>73847.47+141364.41</f>
        <v>215211.88</v>
      </c>
      <c r="AI492" s="52">
        <f t="shared" si="114"/>
        <v>30946.329999999987</v>
      </c>
      <c r="AJ492" s="124">
        <v>0</v>
      </c>
      <c r="AK492" s="45">
        <v>0</v>
      </c>
      <c r="AL492" s="52">
        <f t="shared" si="107"/>
        <v>0</v>
      </c>
      <c r="AM492" s="52">
        <f t="shared" si="110"/>
        <v>252524.37</v>
      </c>
      <c r="AN492" s="51">
        <f t="shared" si="111"/>
        <v>215211.88</v>
      </c>
      <c r="AO492" s="51">
        <f t="shared" si="108"/>
        <v>37312.489999999991</v>
      </c>
      <c r="AP492" s="125" t="s">
        <v>105</v>
      </c>
      <c r="AQ492" s="52">
        <v>63661.61</v>
      </c>
      <c r="AR492" s="51">
        <v>52228.23</v>
      </c>
      <c r="AS492" s="51">
        <f t="shared" si="106"/>
        <v>11433.379999999997</v>
      </c>
      <c r="AT492" s="51">
        <f t="shared" si="115"/>
        <v>40755.179999999993</v>
      </c>
      <c r="AU492" s="48"/>
      <c r="AV492" s="46"/>
    </row>
    <row r="493" spans="1:48" ht="24.75" hidden="1" x14ac:dyDescent="0.2">
      <c r="A493" s="32">
        <v>636</v>
      </c>
      <c r="B493" s="122" t="s">
        <v>1966</v>
      </c>
      <c r="C493" s="116"/>
      <c r="D493" s="107">
        <v>1375</v>
      </c>
      <c r="E493" s="46" t="s">
        <v>1967</v>
      </c>
      <c r="F493" s="46"/>
      <c r="G493" s="46"/>
      <c r="H493" s="33" t="s">
        <v>284</v>
      </c>
      <c r="I493" s="107">
        <v>6132</v>
      </c>
      <c r="J493" s="107"/>
      <c r="K493" s="169">
        <v>2.11</v>
      </c>
      <c r="L493" s="118" t="s">
        <v>1686</v>
      </c>
      <c r="M493" s="147" t="s">
        <v>250</v>
      </c>
      <c r="N493" s="117" t="s">
        <v>1687</v>
      </c>
      <c r="O493" s="148" t="s">
        <v>252</v>
      </c>
      <c r="P493" s="46" t="s">
        <v>331</v>
      </c>
      <c r="Q493" s="46" t="s">
        <v>622</v>
      </c>
      <c r="R493" s="33" t="s">
        <v>1968</v>
      </c>
      <c r="S493" s="45">
        <f t="shared" si="116"/>
        <v>509148</v>
      </c>
      <c r="T493" s="45">
        <v>496312.34</v>
      </c>
      <c r="U493" s="45">
        <v>12835.66</v>
      </c>
      <c r="V493" s="109" t="s">
        <v>1957</v>
      </c>
      <c r="W493" s="63">
        <v>41997</v>
      </c>
      <c r="X493" s="48"/>
      <c r="Y493" s="109" t="s">
        <v>282</v>
      </c>
      <c r="Z493" s="45">
        <v>12740.86</v>
      </c>
      <c r="AA493" s="45">
        <v>2740.56</v>
      </c>
      <c r="AB493" s="45">
        <f t="shared" si="113"/>
        <v>10000.300000000001</v>
      </c>
      <c r="AC493" s="48" t="s">
        <v>93</v>
      </c>
      <c r="AD493" s="63">
        <v>42305</v>
      </c>
      <c r="AE493" s="51">
        <f t="shared" si="109"/>
        <v>94.799999999999272</v>
      </c>
      <c r="AF493" s="52">
        <f t="shared" si="112"/>
        <v>3665.5599999999977</v>
      </c>
      <c r="AG493" s="52">
        <v>492646.78</v>
      </c>
      <c r="AH493" s="52">
        <f>147794.03+309134.91</f>
        <v>456928.93999999994</v>
      </c>
      <c r="AI493" s="52">
        <f t="shared" si="114"/>
        <v>35717.840000000084</v>
      </c>
      <c r="AJ493" s="124">
        <v>0</v>
      </c>
      <c r="AK493" s="45">
        <v>0</v>
      </c>
      <c r="AL493" s="52">
        <f t="shared" si="107"/>
        <v>0</v>
      </c>
      <c r="AM493" s="52">
        <f t="shared" si="110"/>
        <v>505387.64</v>
      </c>
      <c r="AN493" s="51">
        <f t="shared" si="111"/>
        <v>459669.49999999994</v>
      </c>
      <c r="AO493" s="51">
        <f t="shared" si="108"/>
        <v>45718.140000000072</v>
      </c>
      <c r="AP493" s="125" t="s">
        <v>105</v>
      </c>
      <c r="AQ493" s="52">
        <v>127408.65</v>
      </c>
      <c r="AR493" s="51">
        <v>114212.4</v>
      </c>
      <c r="AS493" s="51">
        <f t="shared" ref="AS493:AS516" si="117">SUM(AQ493-AR493)</f>
        <v>13196.25</v>
      </c>
      <c r="AT493" s="51">
        <f t="shared" si="115"/>
        <v>49478.500000000058</v>
      </c>
      <c r="AU493" s="48"/>
      <c r="AV493" s="46"/>
    </row>
    <row r="494" spans="1:48" ht="24.75" hidden="1" customHeight="1" x14ac:dyDescent="0.2">
      <c r="A494" s="32">
        <v>636</v>
      </c>
      <c r="B494" s="122" t="s">
        <v>1969</v>
      </c>
      <c r="C494" s="116" t="s">
        <v>27</v>
      </c>
      <c r="D494" s="107">
        <v>1374</v>
      </c>
      <c r="E494" s="46" t="s">
        <v>1970</v>
      </c>
      <c r="F494" s="46"/>
      <c r="G494" s="46"/>
      <c r="H494" s="33" t="s">
        <v>284</v>
      </c>
      <c r="I494" s="107">
        <v>6132</v>
      </c>
      <c r="J494" s="107"/>
      <c r="K494" s="169">
        <v>2.11</v>
      </c>
      <c r="L494" s="118" t="s">
        <v>1686</v>
      </c>
      <c r="M494" s="147" t="s">
        <v>250</v>
      </c>
      <c r="N494" s="117" t="s">
        <v>1687</v>
      </c>
      <c r="O494" s="148" t="s">
        <v>252</v>
      </c>
      <c r="P494" s="46" t="s">
        <v>167</v>
      </c>
      <c r="Q494" s="46" t="s">
        <v>1971</v>
      </c>
      <c r="R494" s="256" t="s">
        <v>1972</v>
      </c>
      <c r="S494" s="45">
        <f t="shared" si="116"/>
        <v>236551.96</v>
      </c>
      <c r="T494" s="45">
        <v>230588.47</v>
      </c>
      <c r="U494" s="45">
        <v>5963.49</v>
      </c>
      <c r="V494" s="109" t="s">
        <v>1957</v>
      </c>
      <c r="W494" s="63">
        <v>41997</v>
      </c>
      <c r="X494" s="48"/>
      <c r="Y494" s="109" t="s">
        <v>282</v>
      </c>
      <c r="Z494" s="45">
        <v>5858.11</v>
      </c>
      <c r="AA494" s="45">
        <f>5000-5000</f>
        <v>0</v>
      </c>
      <c r="AB494" s="45">
        <f t="shared" si="113"/>
        <v>5858.11</v>
      </c>
      <c r="AC494" s="48" t="s">
        <v>93</v>
      </c>
      <c r="AD494" s="63">
        <v>42248</v>
      </c>
      <c r="AE494" s="51">
        <f t="shared" si="109"/>
        <v>105.38000000000011</v>
      </c>
      <c r="AF494" s="52">
        <f t="shared" si="112"/>
        <v>4074.9200000000128</v>
      </c>
      <c r="AG494" s="52">
        <v>226513.55</v>
      </c>
      <c r="AH494" s="52">
        <f>67954.06+142180.2</f>
        <v>210134.26</v>
      </c>
      <c r="AI494" s="52">
        <f t="shared" si="114"/>
        <v>16379.289999999979</v>
      </c>
      <c r="AJ494" s="124">
        <v>0</v>
      </c>
      <c r="AK494" s="45">
        <v>0</v>
      </c>
      <c r="AL494" s="52">
        <f t="shared" si="107"/>
        <v>0</v>
      </c>
      <c r="AM494" s="52">
        <f t="shared" si="110"/>
        <v>232371.65999999997</v>
      </c>
      <c r="AN494" s="51">
        <f t="shared" si="111"/>
        <v>210134.26</v>
      </c>
      <c r="AO494" s="51">
        <f t="shared" si="108"/>
        <v>22237.399999999965</v>
      </c>
      <c r="AP494" s="125" t="s">
        <v>1973</v>
      </c>
      <c r="AQ494" s="52">
        <v>58581.09</v>
      </c>
      <c r="AR494" s="51">
        <v>52529.63</v>
      </c>
      <c r="AS494" s="51">
        <f t="shared" si="117"/>
        <v>6051.4599999999991</v>
      </c>
      <c r="AT494" s="51">
        <f t="shared" si="115"/>
        <v>26417.699999999983</v>
      </c>
      <c r="AU494" s="48"/>
      <c r="AV494" s="46"/>
    </row>
    <row r="495" spans="1:48" ht="20.25" hidden="1" customHeight="1" x14ac:dyDescent="0.2">
      <c r="A495" s="32">
        <v>636</v>
      </c>
      <c r="B495" s="122" t="s">
        <v>1974</v>
      </c>
      <c r="C495" s="116" t="s">
        <v>27</v>
      </c>
      <c r="D495" s="107">
        <v>1372</v>
      </c>
      <c r="E495" s="46" t="s">
        <v>1975</v>
      </c>
      <c r="F495" s="46"/>
      <c r="G495" s="46"/>
      <c r="H495" s="33" t="s">
        <v>284</v>
      </c>
      <c r="I495" s="107">
        <v>6132</v>
      </c>
      <c r="J495" s="107"/>
      <c r="K495" s="169">
        <v>2.11</v>
      </c>
      <c r="L495" s="118" t="s">
        <v>1686</v>
      </c>
      <c r="M495" s="147" t="s">
        <v>250</v>
      </c>
      <c r="N495" s="117" t="s">
        <v>1687</v>
      </c>
      <c r="O495" s="148" t="s">
        <v>252</v>
      </c>
      <c r="P495" s="46" t="s">
        <v>167</v>
      </c>
      <c r="Q495" s="46" t="s">
        <v>1971</v>
      </c>
      <c r="R495" s="257"/>
      <c r="S495" s="45">
        <f t="shared" si="116"/>
        <v>225663.67</v>
      </c>
      <c r="T495" s="45">
        <v>219974.67</v>
      </c>
      <c r="U495" s="45">
        <v>5689</v>
      </c>
      <c r="V495" s="109" t="s">
        <v>1957</v>
      </c>
      <c r="W495" s="63">
        <v>41997</v>
      </c>
      <c r="X495" s="48"/>
      <c r="Y495" s="109" t="s">
        <v>282</v>
      </c>
      <c r="Z495" s="45">
        <v>5632.52</v>
      </c>
      <c r="AA495" s="45">
        <f>5600-5600</f>
        <v>0</v>
      </c>
      <c r="AB495" s="45">
        <f t="shared" si="113"/>
        <v>5632.52</v>
      </c>
      <c r="AC495" s="48" t="s">
        <v>93</v>
      </c>
      <c r="AD495" s="63">
        <v>42248</v>
      </c>
      <c r="AE495" s="51">
        <f t="shared" si="109"/>
        <v>56.479999999999563</v>
      </c>
      <c r="AF495" s="52">
        <f t="shared" si="112"/>
        <v>2183.7400000000198</v>
      </c>
      <c r="AG495" s="52">
        <v>217790.93</v>
      </c>
      <c r="AH495" s="52">
        <f>65337.28+134507.22</f>
        <v>199844.5</v>
      </c>
      <c r="AI495" s="52">
        <f t="shared" si="114"/>
        <v>17946.429999999993</v>
      </c>
      <c r="AJ495" s="124">
        <v>0</v>
      </c>
      <c r="AK495" s="45">
        <v>0</v>
      </c>
      <c r="AL495" s="52">
        <f t="shared" si="107"/>
        <v>0</v>
      </c>
      <c r="AM495" s="52">
        <f t="shared" si="110"/>
        <v>223423.44999999998</v>
      </c>
      <c r="AN495" s="51">
        <f t="shared" si="111"/>
        <v>199844.5</v>
      </c>
      <c r="AO495" s="51">
        <f t="shared" si="108"/>
        <v>23578.949999999983</v>
      </c>
      <c r="AP495" s="125" t="s">
        <v>1973</v>
      </c>
      <c r="AQ495" s="52">
        <v>56325.24</v>
      </c>
      <c r="AR495" s="51">
        <v>49694.79</v>
      </c>
      <c r="AS495" s="51">
        <f t="shared" si="117"/>
        <v>6630.4499999999971</v>
      </c>
      <c r="AT495" s="51">
        <f t="shared" si="115"/>
        <v>25819.170000000013</v>
      </c>
      <c r="AU495" s="48"/>
      <c r="AV495" s="46"/>
    </row>
    <row r="496" spans="1:48" ht="24.75" hidden="1" x14ac:dyDescent="0.2">
      <c r="A496" s="32">
        <v>636</v>
      </c>
      <c r="B496" s="122" t="s">
        <v>1976</v>
      </c>
      <c r="C496" s="116" t="s">
        <v>27</v>
      </c>
      <c r="D496" s="107">
        <v>1373</v>
      </c>
      <c r="E496" s="46" t="s">
        <v>1977</v>
      </c>
      <c r="F496" s="46"/>
      <c r="G496" s="46"/>
      <c r="H496" s="33" t="s">
        <v>284</v>
      </c>
      <c r="I496" s="107">
        <v>6132</v>
      </c>
      <c r="J496" s="107"/>
      <c r="K496" s="169">
        <v>2.11</v>
      </c>
      <c r="L496" s="118" t="s">
        <v>1686</v>
      </c>
      <c r="M496" s="147" t="s">
        <v>250</v>
      </c>
      <c r="N496" s="117" t="s">
        <v>1687</v>
      </c>
      <c r="O496" s="148" t="s">
        <v>252</v>
      </c>
      <c r="P496" s="46" t="s">
        <v>167</v>
      </c>
      <c r="Q496" s="46" t="s">
        <v>1971</v>
      </c>
      <c r="R496" s="258"/>
      <c r="S496" s="45">
        <f>T496+U496</f>
        <v>209736.82</v>
      </c>
      <c r="T496" s="45">
        <v>204449.34</v>
      </c>
      <c r="U496" s="45">
        <v>5287.48</v>
      </c>
      <c r="V496" s="109" t="s">
        <v>1957</v>
      </c>
      <c r="W496" s="63">
        <v>41997</v>
      </c>
      <c r="X496" s="48"/>
      <c r="Y496" s="109" t="s">
        <v>282</v>
      </c>
      <c r="Z496" s="45">
        <v>5212.96</v>
      </c>
      <c r="AA496" s="45">
        <v>5000</v>
      </c>
      <c r="AB496" s="45">
        <f>Z496-AA496</f>
        <v>212.96000000000004</v>
      </c>
      <c r="AC496" s="48" t="s">
        <v>93</v>
      </c>
      <c r="AD496" s="63">
        <v>42248</v>
      </c>
      <c r="AE496" s="51">
        <f>U496-Z496</f>
        <v>74.519999999999527</v>
      </c>
      <c r="AF496" s="52">
        <f t="shared" si="112"/>
        <v>2881.429999999993</v>
      </c>
      <c r="AG496" s="52">
        <v>201567.91</v>
      </c>
      <c r="AH496" s="52">
        <f>60470.37+124256.28</f>
        <v>184726.65</v>
      </c>
      <c r="AI496" s="52">
        <f>SUM(AG496-AH496)</f>
        <v>16841.260000000009</v>
      </c>
      <c r="AJ496" s="124">
        <v>0</v>
      </c>
      <c r="AK496" s="45">
        <v>0</v>
      </c>
      <c r="AL496" s="52">
        <f>+AJ496-AK496</f>
        <v>0</v>
      </c>
      <c r="AM496" s="52">
        <f>SUM(AG496+Z496)+AJ496</f>
        <v>206780.87</v>
      </c>
      <c r="AN496" s="51">
        <f>SUM(AA496+AH496)+AK496</f>
        <v>189726.65</v>
      </c>
      <c r="AO496" s="51">
        <f>+AM496-AN496</f>
        <v>17054.22</v>
      </c>
      <c r="AP496" s="125" t="s">
        <v>1973</v>
      </c>
      <c r="AQ496" s="52">
        <v>52129.63</v>
      </c>
      <c r="AR496" s="51">
        <v>45907.49</v>
      </c>
      <c r="AS496" s="51">
        <f>SUM(AQ496-AR496)</f>
        <v>6222.1399999999994</v>
      </c>
      <c r="AT496" s="51">
        <f>SUM(S496-AN496)</f>
        <v>20010.170000000013</v>
      </c>
      <c r="AU496" s="48"/>
      <c r="AV496" s="46"/>
    </row>
    <row r="497" spans="1:48" ht="27" hidden="1" customHeight="1" x14ac:dyDescent="0.2">
      <c r="A497" s="32">
        <v>636</v>
      </c>
      <c r="B497" s="259" t="s">
        <v>1978</v>
      </c>
      <c r="C497" s="116" t="s">
        <v>1979</v>
      </c>
      <c r="D497" s="107">
        <v>1352</v>
      </c>
      <c r="E497" s="253" t="s">
        <v>1980</v>
      </c>
      <c r="F497" s="82"/>
      <c r="G497" s="82"/>
      <c r="H497" s="33" t="s">
        <v>1981</v>
      </c>
      <c r="I497" s="107">
        <v>6122</v>
      </c>
      <c r="J497" s="107">
        <v>4</v>
      </c>
      <c r="K497" s="39">
        <v>8</v>
      </c>
      <c r="L497" s="118" t="s">
        <v>1982</v>
      </c>
      <c r="M497" s="147" t="s">
        <v>278</v>
      </c>
      <c r="N497" s="42" t="s">
        <v>76</v>
      </c>
      <c r="O497" s="148" t="s">
        <v>279</v>
      </c>
      <c r="P497" s="46" t="s">
        <v>792</v>
      </c>
      <c r="Q497" s="46" t="s">
        <v>1983</v>
      </c>
      <c r="R497" s="256" t="s">
        <v>1984</v>
      </c>
      <c r="S497" s="45">
        <f t="shared" si="116"/>
        <v>1348277.62</v>
      </c>
      <c r="T497" s="45">
        <f>1350000-1722.38</f>
        <v>1348277.62</v>
      </c>
      <c r="U497" s="45">
        <v>0</v>
      </c>
      <c r="V497" s="109" t="s">
        <v>1985</v>
      </c>
      <c r="W497" s="63">
        <v>41994</v>
      </c>
      <c r="X497" s="48"/>
      <c r="Y497" s="109" t="s">
        <v>234</v>
      </c>
      <c r="Z497" s="45"/>
      <c r="AA497" s="45"/>
      <c r="AB497" s="45">
        <f t="shared" si="113"/>
        <v>0</v>
      </c>
      <c r="AC497" s="48"/>
      <c r="AD497" s="63"/>
      <c r="AE497" s="51">
        <f t="shared" si="109"/>
        <v>0</v>
      </c>
      <c r="AF497" s="52">
        <f t="shared" si="112"/>
        <v>0</v>
      </c>
      <c r="AG497" s="52">
        <v>1348277.62</v>
      </c>
      <c r="AH497" s="52">
        <f>674138.81+674138.81</f>
        <v>1348277.62</v>
      </c>
      <c r="AI497" s="52">
        <f t="shared" si="114"/>
        <v>0</v>
      </c>
      <c r="AJ497" s="124">
        <v>0</v>
      </c>
      <c r="AK497" s="45">
        <v>0</v>
      </c>
      <c r="AL497" s="52">
        <f t="shared" si="107"/>
        <v>0</v>
      </c>
      <c r="AM497" s="52">
        <f t="shared" si="110"/>
        <v>1348277.62</v>
      </c>
      <c r="AN497" s="51">
        <f t="shared" si="111"/>
        <v>1348277.62</v>
      </c>
      <c r="AO497" s="51">
        <f t="shared" si="108"/>
        <v>0</v>
      </c>
      <c r="AP497" s="125"/>
      <c r="AQ497" s="52">
        <v>581154.14</v>
      </c>
      <c r="AR497" s="51">
        <v>581154.14</v>
      </c>
      <c r="AS497" s="51">
        <f t="shared" si="117"/>
        <v>0</v>
      </c>
      <c r="AT497" s="126">
        <f t="shared" si="115"/>
        <v>0</v>
      </c>
      <c r="AU497" s="48"/>
      <c r="AV497" s="46"/>
    </row>
    <row r="498" spans="1:48" ht="20.25" hidden="1" customHeight="1" x14ac:dyDescent="0.2">
      <c r="A498" s="32">
        <v>636</v>
      </c>
      <c r="B498" s="261"/>
      <c r="C498" s="116" t="s">
        <v>1979</v>
      </c>
      <c r="D498" s="107">
        <v>1353</v>
      </c>
      <c r="E498" s="255"/>
      <c r="F498" s="36"/>
      <c r="G498" s="36"/>
      <c r="H498" s="33" t="s">
        <v>60</v>
      </c>
      <c r="I498" s="107">
        <v>6122</v>
      </c>
      <c r="J498" s="107">
        <v>4</v>
      </c>
      <c r="K498" s="39">
        <v>2</v>
      </c>
      <c r="L498" s="40" t="s">
        <v>61</v>
      </c>
      <c r="M498" s="147" t="s">
        <v>278</v>
      </c>
      <c r="N498" s="42" t="s">
        <v>76</v>
      </c>
      <c r="O498" s="148" t="s">
        <v>279</v>
      </c>
      <c r="P498" s="46" t="s">
        <v>792</v>
      </c>
      <c r="Q498" s="46" t="s">
        <v>1983</v>
      </c>
      <c r="R498" s="258"/>
      <c r="S498" s="45">
        <f t="shared" si="116"/>
        <v>900000</v>
      </c>
      <c r="T498" s="45">
        <v>900000</v>
      </c>
      <c r="U498" s="45">
        <v>0</v>
      </c>
      <c r="V498" s="109" t="s">
        <v>1985</v>
      </c>
      <c r="W498" s="63">
        <v>41994</v>
      </c>
      <c r="X498" s="48"/>
      <c r="Y498" s="109" t="s">
        <v>234</v>
      </c>
      <c r="Z498" s="45"/>
      <c r="AA498" s="45"/>
      <c r="AB498" s="45">
        <f t="shared" si="113"/>
        <v>0</v>
      </c>
      <c r="AC498" s="48"/>
      <c r="AD498" s="63"/>
      <c r="AE498" s="51">
        <f t="shared" si="109"/>
        <v>0</v>
      </c>
      <c r="AF498" s="52">
        <f t="shared" si="112"/>
        <v>1148.2600000000093</v>
      </c>
      <c r="AG498" s="52">
        <v>898851.74</v>
      </c>
      <c r="AH498" s="52">
        <f>449425.87+449425.87</f>
        <v>898851.74</v>
      </c>
      <c r="AI498" s="52">
        <f t="shared" si="114"/>
        <v>0</v>
      </c>
      <c r="AJ498" s="124">
        <v>0</v>
      </c>
      <c r="AK498" s="45">
        <v>0</v>
      </c>
      <c r="AL498" s="52">
        <f t="shared" si="107"/>
        <v>0</v>
      </c>
      <c r="AM498" s="52">
        <f t="shared" si="110"/>
        <v>898851.74</v>
      </c>
      <c r="AN498" s="51">
        <f t="shared" si="111"/>
        <v>898851.74</v>
      </c>
      <c r="AO498" s="51">
        <f t="shared" si="108"/>
        <v>0</v>
      </c>
      <c r="AP498" s="125"/>
      <c r="AQ498" s="52">
        <v>387436.1</v>
      </c>
      <c r="AR498" s="51">
        <v>387436.1</v>
      </c>
      <c r="AS498" s="51">
        <f t="shared" si="117"/>
        <v>0</v>
      </c>
      <c r="AT498" s="126">
        <f t="shared" si="115"/>
        <v>1148.2600000000093</v>
      </c>
      <c r="AU498" s="48"/>
      <c r="AV498" s="46"/>
    </row>
    <row r="499" spans="1:48" ht="34.5" hidden="1" customHeight="1" x14ac:dyDescent="0.2">
      <c r="A499" s="32">
        <v>636</v>
      </c>
      <c r="B499" s="259" t="s">
        <v>1986</v>
      </c>
      <c r="C499" s="116" t="s">
        <v>1987</v>
      </c>
      <c r="D499" s="107">
        <v>1350</v>
      </c>
      <c r="E499" s="253" t="s">
        <v>1988</v>
      </c>
      <c r="F499" s="82"/>
      <c r="G499" s="82"/>
      <c r="H499" s="33" t="s">
        <v>1981</v>
      </c>
      <c r="I499" s="107">
        <v>6142</v>
      </c>
      <c r="J499" s="107">
        <v>4</v>
      </c>
      <c r="K499" s="39">
        <v>8</v>
      </c>
      <c r="L499" s="118" t="s">
        <v>1982</v>
      </c>
      <c r="M499" s="48" t="s">
        <v>108</v>
      </c>
      <c r="N499" s="42" t="s">
        <v>63</v>
      </c>
      <c r="O499" s="148" t="s">
        <v>88</v>
      </c>
      <c r="P499" s="48" t="s">
        <v>334</v>
      </c>
      <c r="Q499" s="46" t="s">
        <v>1989</v>
      </c>
      <c r="R499" s="256" t="s">
        <v>1990</v>
      </c>
      <c r="S499" s="45">
        <f t="shared" si="116"/>
        <v>2753933.23</v>
      </c>
      <c r="T499" s="45">
        <f>2759537-5603.77</f>
        <v>2753933.23</v>
      </c>
      <c r="U499" s="45">
        <v>0</v>
      </c>
      <c r="V499" s="109" t="s">
        <v>1985</v>
      </c>
      <c r="W499" s="63">
        <v>41994</v>
      </c>
      <c r="X499" s="48"/>
      <c r="Y499" s="109" t="s">
        <v>234</v>
      </c>
      <c r="Z499" s="45"/>
      <c r="AA499" s="45"/>
      <c r="AB499" s="45">
        <f t="shared" si="113"/>
        <v>0</v>
      </c>
      <c r="AC499" s="48"/>
      <c r="AD499" s="63"/>
      <c r="AE499" s="51">
        <f t="shared" si="109"/>
        <v>0</v>
      </c>
      <c r="AF499" s="52">
        <f t="shared" si="112"/>
        <v>0</v>
      </c>
      <c r="AG499" s="52">
        <v>2753933.23</v>
      </c>
      <c r="AH499" s="52">
        <f>1376966.62+1376966.61</f>
        <v>2753933.2300000004</v>
      </c>
      <c r="AI499" s="52">
        <f t="shared" si="114"/>
        <v>-4.6566128730773926E-10</v>
      </c>
      <c r="AJ499" s="124">
        <v>0</v>
      </c>
      <c r="AK499" s="45">
        <v>0</v>
      </c>
      <c r="AL499" s="52">
        <f t="shared" si="107"/>
        <v>0</v>
      </c>
      <c r="AM499" s="52">
        <f t="shared" si="110"/>
        <v>2753933.23</v>
      </c>
      <c r="AN499" s="51">
        <f t="shared" si="111"/>
        <v>2753933.2300000004</v>
      </c>
      <c r="AO499" s="51">
        <f t="shared" si="108"/>
        <v>0</v>
      </c>
      <c r="AP499" s="125"/>
      <c r="AQ499" s="52">
        <v>1187040.19</v>
      </c>
      <c r="AR499" s="52">
        <v>1187040.19</v>
      </c>
      <c r="AS499" s="51">
        <f t="shared" si="117"/>
        <v>0</v>
      </c>
      <c r="AT499" s="126">
        <f t="shared" si="115"/>
        <v>-4.6566128730773926E-10</v>
      </c>
      <c r="AU499" s="48"/>
      <c r="AV499" s="46"/>
    </row>
    <row r="500" spans="1:48" ht="20.25" hidden="1" customHeight="1" x14ac:dyDescent="0.2">
      <c r="A500" s="32">
        <v>636</v>
      </c>
      <c r="B500" s="261"/>
      <c r="C500" s="116" t="s">
        <v>1987</v>
      </c>
      <c r="D500" s="107">
        <v>1351</v>
      </c>
      <c r="E500" s="255"/>
      <c r="F500" s="36"/>
      <c r="G500" s="36"/>
      <c r="H500" s="33" t="s">
        <v>60</v>
      </c>
      <c r="I500" s="107">
        <v>6142</v>
      </c>
      <c r="J500" s="107">
        <v>4</v>
      </c>
      <c r="K500" s="39">
        <v>2</v>
      </c>
      <c r="L500" s="40" t="s">
        <v>61</v>
      </c>
      <c r="M500" s="188" t="s">
        <v>108</v>
      </c>
      <c r="N500" s="42" t="s">
        <v>63</v>
      </c>
      <c r="O500" s="148" t="s">
        <v>88</v>
      </c>
      <c r="P500" s="48" t="s">
        <v>334</v>
      </c>
      <c r="Q500" s="46" t="s">
        <v>1989</v>
      </c>
      <c r="R500" s="258"/>
      <c r="S500" s="45">
        <f t="shared" si="116"/>
        <v>1839691</v>
      </c>
      <c r="T500" s="45">
        <v>1839691</v>
      </c>
      <c r="U500" s="45">
        <v>0</v>
      </c>
      <c r="V500" s="109" t="s">
        <v>1985</v>
      </c>
      <c r="W500" s="63">
        <v>41994</v>
      </c>
      <c r="X500" s="48"/>
      <c r="Y500" s="109" t="s">
        <v>234</v>
      </c>
      <c r="Z500" s="45"/>
      <c r="AA500" s="45"/>
      <c r="AB500" s="45">
        <f t="shared" si="113"/>
        <v>0</v>
      </c>
      <c r="AC500" s="48"/>
      <c r="AD500" s="63"/>
      <c r="AE500" s="51">
        <f t="shared" si="109"/>
        <v>0</v>
      </c>
      <c r="AF500" s="52">
        <f t="shared" si="112"/>
        <v>3735.5100000000093</v>
      </c>
      <c r="AG500" s="52">
        <v>1835955.49</v>
      </c>
      <c r="AH500" s="52">
        <f>917977.74+917977.75</f>
        <v>1835955.49</v>
      </c>
      <c r="AI500" s="52">
        <f t="shared" si="114"/>
        <v>0</v>
      </c>
      <c r="AJ500" s="124">
        <v>0</v>
      </c>
      <c r="AK500" s="45">
        <v>0</v>
      </c>
      <c r="AL500" s="52">
        <f t="shared" si="107"/>
        <v>0</v>
      </c>
      <c r="AM500" s="52">
        <f t="shared" si="110"/>
        <v>1835955.49</v>
      </c>
      <c r="AN500" s="51">
        <f t="shared" si="111"/>
        <v>1835955.49</v>
      </c>
      <c r="AO500" s="51">
        <f t="shared" si="108"/>
        <v>0</v>
      </c>
      <c r="AP500" s="125"/>
      <c r="AQ500" s="52">
        <v>791360.12</v>
      </c>
      <c r="AR500" s="52">
        <v>791360.12</v>
      </c>
      <c r="AS500" s="51">
        <f t="shared" si="117"/>
        <v>0</v>
      </c>
      <c r="AT500" s="126">
        <f t="shared" si="115"/>
        <v>3735.5100000000093</v>
      </c>
      <c r="AU500" s="48"/>
      <c r="AV500" s="46"/>
    </row>
    <row r="501" spans="1:48" ht="34.5" hidden="1" customHeight="1" x14ac:dyDescent="0.2">
      <c r="A501" s="32">
        <v>636</v>
      </c>
      <c r="B501" s="259" t="s">
        <v>1991</v>
      </c>
      <c r="C501" s="116" t="s">
        <v>1992</v>
      </c>
      <c r="D501" s="107"/>
      <c r="E501" s="253" t="s">
        <v>1993</v>
      </c>
      <c r="F501" s="82"/>
      <c r="G501" s="82"/>
      <c r="H501" s="33" t="s">
        <v>1981</v>
      </c>
      <c r="I501" s="107">
        <v>6224</v>
      </c>
      <c r="J501" s="107">
        <v>4</v>
      </c>
      <c r="K501" s="39">
        <v>8</v>
      </c>
      <c r="L501" s="118" t="s">
        <v>1982</v>
      </c>
      <c r="M501" s="147" t="s">
        <v>278</v>
      </c>
      <c r="N501" s="42" t="s">
        <v>63</v>
      </c>
      <c r="O501" s="148" t="s">
        <v>279</v>
      </c>
      <c r="P501" s="46" t="s">
        <v>518</v>
      </c>
      <c r="Q501" s="46" t="s">
        <v>911</v>
      </c>
      <c r="R501" s="256" t="s">
        <v>1994</v>
      </c>
      <c r="S501" s="45">
        <f t="shared" si="116"/>
        <v>1343153.86</v>
      </c>
      <c r="T501" s="45">
        <f>1350000-6846.14</f>
        <v>1343153.86</v>
      </c>
      <c r="U501" s="45">
        <v>0</v>
      </c>
      <c r="V501" s="109" t="s">
        <v>1985</v>
      </c>
      <c r="W501" s="63">
        <v>41994</v>
      </c>
      <c r="X501" s="48"/>
      <c r="Y501" s="109" t="s">
        <v>234</v>
      </c>
      <c r="Z501" s="45"/>
      <c r="AA501" s="45"/>
      <c r="AB501" s="45">
        <f t="shared" si="113"/>
        <v>0</v>
      </c>
      <c r="AC501" s="48"/>
      <c r="AD501" s="63"/>
      <c r="AE501" s="51">
        <f t="shared" si="109"/>
        <v>0</v>
      </c>
      <c r="AF501" s="52">
        <f t="shared" si="112"/>
        <v>0</v>
      </c>
      <c r="AG501" s="52">
        <v>1343153.86</v>
      </c>
      <c r="AH501" s="52">
        <f>671576.93+671576.93</f>
        <v>1343153.86</v>
      </c>
      <c r="AI501" s="52">
        <f t="shared" si="114"/>
        <v>0</v>
      </c>
      <c r="AJ501" s="124">
        <v>0</v>
      </c>
      <c r="AK501" s="45">
        <v>0</v>
      </c>
      <c r="AL501" s="52">
        <f t="shared" si="107"/>
        <v>0</v>
      </c>
      <c r="AM501" s="52">
        <f t="shared" si="110"/>
        <v>1343153.86</v>
      </c>
      <c r="AN501" s="51">
        <f t="shared" si="111"/>
        <v>1343153.86</v>
      </c>
      <c r="AO501" s="51">
        <f t="shared" si="108"/>
        <v>0</v>
      </c>
      <c r="AP501" s="125"/>
      <c r="AQ501" s="52">
        <v>578945.63</v>
      </c>
      <c r="AR501" s="52">
        <v>578945.63</v>
      </c>
      <c r="AS501" s="51">
        <f t="shared" si="117"/>
        <v>0</v>
      </c>
      <c r="AT501" s="126">
        <f t="shared" si="115"/>
        <v>0</v>
      </c>
      <c r="AU501" s="48"/>
      <c r="AV501" s="46"/>
    </row>
    <row r="502" spans="1:48" ht="20.25" hidden="1" customHeight="1" x14ac:dyDescent="0.2">
      <c r="A502" s="32">
        <v>636</v>
      </c>
      <c r="B502" s="261"/>
      <c r="C502" s="116" t="s">
        <v>1992</v>
      </c>
      <c r="D502" s="107"/>
      <c r="E502" s="255"/>
      <c r="F502" s="36"/>
      <c r="G502" s="36"/>
      <c r="H502" s="33" t="s">
        <v>60</v>
      </c>
      <c r="I502" s="107">
        <v>6224</v>
      </c>
      <c r="J502" s="107">
        <v>4</v>
      </c>
      <c r="K502" s="39">
        <v>2</v>
      </c>
      <c r="L502" s="40" t="s">
        <v>61</v>
      </c>
      <c r="M502" s="147" t="s">
        <v>278</v>
      </c>
      <c r="N502" s="42" t="s">
        <v>63</v>
      </c>
      <c r="O502" s="148" t="s">
        <v>279</v>
      </c>
      <c r="P502" s="46" t="s">
        <v>518</v>
      </c>
      <c r="Q502" s="46" t="s">
        <v>911</v>
      </c>
      <c r="R502" s="258"/>
      <c r="S502" s="45">
        <f t="shared" si="116"/>
        <v>900000</v>
      </c>
      <c r="T502" s="45">
        <v>900000</v>
      </c>
      <c r="U502" s="45">
        <v>0</v>
      </c>
      <c r="V502" s="109" t="s">
        <v>1985</v>
      </c>
      <c r="W502" s="63">
        <v>41994</v>
      </c>
      <c r="X502" s="48"/>
      <c r="Y502" s="109" t="s">
        <v>234</v>
      </c>
      <c r="Z502" s="45"/>
      <c r="AA502" s="45"/>
      <c r="AB502" s="45">
        <f t="shared" si="113"/>
        <v>0</v>
      </c>
      <c r="AC502" s="48"/>
      <c r="AD502" s="63"/>
      <c r="AE502" s="51">
        <f t="shared" si="109"/>
        <v>0</v>
      </c>
      <c r="AF502" s="52">
        <f t="shared" si="112"/>
        <v>4564.0999999999767</v>
      </c>
      <c r="AG502" s="52">
        <v>895435.9</v>
      </c>
      <c r="AH502" s="52">
        <f>447717.95+447717.95</f>
        <v>895435.9</v>
      </c>
      <c r="AI502" s="52">
        <f t="shared" si="114"/>
        <v>0</v>
      </c>
      <c r="AJ502" s="124">
        <v>0</v>
      </c>
      <c r="AK502" s="45">
        <v>0</v>
      </c>
      <c r="AL502" s="52">
        <f t="shared" si="107"/>
        <v>0</v>
      </c>
      <c r="AM502" s="52">
        <f t="shared" si="110"/>
        <v>895435.9</v>
      </c>
      <c r="AN502" s="51">
        <f t="shared" si="111"/>
        <v>895435.9</v>
      </c>
      <c r="AO502" s="51">
        <f t="shared" si="108"/>
        <v>0</v>
      </c>
      <c r="AP502" s="125"/>
      <c r="AQ502" s="52">
        <v>385963.75</v>
      </c>
      <c r="AR502" s="52">
        <v>385963.75</v>
      </c>
      <c r="AS502" s="51">
        <f t="shared" si="117"/>
        <v>0</v>
      </c>
      <c r="AT502" s="126">
        <f t="shared" si="115"/>
        <v>4564.0999999999767</v>
      </c>
      <c r="AU502" s="48"/>
      <c r="AV502" s="46"/>
    </row>
    <row r="503" spans="1:48" ht="26.25" hidden="1" customHeight="1" x14ac:dyDescent="0.2">
      <c r="A503" s="32">
        <v>636</v>
      </c>
      <c r="B503" s="259" t="s">
        <v>1995</v>
      </c>
      <c r="C503" s="116" t="s">
        <v>1996</v>
      </c>
      <c r="D503" s="107">
        <v>1356</v>
      </c>
      <c r="E503" s="253" t="s">
        <v>1997</v>
      </c>
      <c r="F503" s="82"/>
      <c r="G503" s="82"/>
      <c r="H503" s="33" t="s">
        <v>1981</v>
      </c>
      <c r="I503" s="107">
        <v>6122</v>
      </c>
      <c r="J503" s="107">
        <v>4</v>
      </c>
      <c r="K503" s="39">
        <v>8</v>
      </c>
      <c r="L503" s="118" t="s">
        <v>1982</v>
      </c>
      <c r="M503" s="147" t="s">
        <v>278</v>
      </c>
      <c r="N503" s="42" t="s">
        <v>63</v>
      </c>
      <c r="O503" s="148" t="s">
        <v>279</v>
      </c>
      <c r="P503" s="46" t="s">
        <v>1998</v>
      </c>
      <c r="Q503" s="46" t="s">
        <v>1999</v>
      </c>
      <c r="R503" s="256" t="s">
        <v>2000</v>
      </c>
      <c r="S503" s="45">
        <f t="shared" si="116"/>
        <v>3685810.62</v>
      </c>
      <c r="T503" s="45">
        <f>3688414-2603.38</f>
        <v>3685810.62</v>
      </c>
      <c r="U503" s="45">
        <v>0</v>
      </c>
      <c r="V503" s="109" t="s">
        <v>1985</v>
      </c>
      <c r="W503" s="63">
        <v>41996</v>
      </c>
      <c r="X503" s="48"/>
      <c r="Y503" s="109" t="s">
        <v>234</v>
      </c>
      <c r="Z503" s="45"/>
      <c r="AA503" s="45"/>
      <c r="AB503" s="45">
        <f t="shared" si="113"/>
        <v>0</v>
      </c>
      <c r="AC503" s="48"/>
      <c r="AD503" s="63"/>
      <c r="AE503" s="51">
        <f t="shared" si="109"/>
        <v>0</v>
      </c>
      <c r="AF503" s="52">
        <f t="shared" si="112"/>
        <v>0</v>
      </c>
      <c r="AG503" s="52">
        <v>3685810.62</v>
      </c>
      <c r="AH503" s="52">
        <f>1842905.31+1842905.31</f>
        <v>3685810.62</v>
      </c>
      <c r="AI503" s="52">
        <f t="shared" si="114"/>
        <v>0</v>
      </c>
      <c r="AJ503" s="124">
        <v>0</v>
      </c>
      <c r="AK503" s="45">
        <v>0</v>
      </c>
      <c r="AL503" s="52">
        <f t="shared" si="107"/>
        <v>0</v>
      </c>
      <c r="AM503" s="52">
        <f t="shared" si="110"/>
        <v>3685810.62</v>
      </c>
      <c r="AN503" s="51">
        <f t="shared" si="111"/>
        <v>3685810.62</v>
      </c>
      <c r="AO503" s="51">
        <f t="shared" si="108"/>
        <v>0</v>
      </c>
      <c r="AP503" s="125"/>
      <c r="AQ503" s="52">
        <v>1588711.48</v>
      </c>
      <c r="AR503" s="51">
        <v>1588711.48</v>
      </c>
      <c r="AS503" s="51">
        <f t="shared" si="117"/>
        <v>0</v>
      </c>
      <c r="AT503" s="126">
        <f t="shared" si="115"/>
        <v>0</v>
      </c>
      <c r="AU503" s="48"/>
      <c r="AV503" s="46"/>
    </row>
    <row r="504" spans="1:48" ht="20.25" hidden="1" customHeight="1" x14ac:dyDescent="0.2">
      <c r="A504" s="32">
        <v>636</v>
      </c>
      <c r="B504" s="261"/>
      <c r="C504" s="116" t="s">
        <v>1996</v>
      </c>
      <c r="D504" s="107">
        <v>1357</v>
      </c>
      <c r="E504" s="255"/>
      <c r="F504" s="36"/>
      <c r="G504" s="36"/>
      <c r="H504" s="33" t="s">
        <v>60</v>
      </c>
      <c r="I504" s="107">
        <v>6122</v>
      </c>
      <c r="J504" s="107">
        <v>4</v>
      </c>
      <c r="K504" s="39">
        <v>2</v>
      </c>
      <c r="L504" s="40" t="s">
        <v>61</v>
      </c>
      <c r="M504" s="147" t="s">
        <v>278</v>
      </c>
      <c r="N504" s="42" t="s">
        <v>63</v>
      </c>
      <c r="O504" s="148" t="s">
        <v>279</v>
      </c>
      <c r="P504" s="46" t="s">
        <v>1998</v>
      </c>
      <c r="Q504" s="46" t="s">
        <v>1999</v>
      </c>
      <c r="R504" s="258"/>
      <c r="S504" s="45">
        <f t="shared" si="116"/>
        <v>2458943</v>
      </c>
      <c r="T504" s="45">
        <v>2458943</v>
      </c>
      <c r="U504" s="45">
        <v>0</v>
      </c>
      <c r="V504" s="109" t="s">
        <v>1985</v>
      </c>
      <c r="W504" s="63">
        <v>41996</v>
      </c>
      <c r="X504" s="48"/>
      <c r="Y504" s="109" t="s">
        <v>234</v>
      </c>
      <c r="Z504" s="45"/>
      <c r="AA504" s="45"/>
      <c r="AB504" s="45">
        <f t="shared" si="113"/>
        <v>0</v>
      </c>
      <c r="AC504" s="48"/>
      <c r="AD504" s="63"/>
      <c r="AE504" s="51">
        <f t="shared" si="109"/>
        <v>0</v>
      </c>
      <c r="AF504" s="52">
        <f t="shared" si="112"/>
        <v>1735.9199999999255</v>
      </c>
      <c r="AG504" s="52">
        <v>2457207.08</v>
      </c>
      <c r="AH504" s="52">
        <f>1228603.54+1228603.54</f>
        <v>2457207.08</v>
      </c>
      <c r="AI504" s="52">
        <f t="shared" si="114"/>
        <v>0</v>
      </c>
      <c r="AJ504" s="124">
        <v>0</v>
      </c>
      <c r="AK504" s="45">
        <v>0</v>
      </c>
      <c r="AL504" s="52">
        <f t="shared" si="107"/>
        <v>0</v>
      </c>
      <c r="AM504" s="52">
        <f t="shared" si="110"/>
        <v>2457207.08</v>
      </c>
      <c r="AN504" s="51">
        <f t="shared" si="111"/>
        <v>2457207.08</v>
      </c>
      <c r="AO504" s="51">
        <f t="shared" si="108"/>
        <v>0</v>
      </c>
      <c r="AP504" s="125"/>
      <c r="AQ504" s="52">
        <v>1059140.98</v>
      </c>
      <c r="AR504" s="51">
        <v>1059140.98</v>
      </c>
      <c r="AS504" s="51">
        <f t="shared" si="117"/>
        <v>0</v>
      </c>
      <c r="AT504" s="126">
        <f t="shared" si="115"/>
        <v>1735.9199999999255</v>
      </c>
      <c r="AU504" s="48"/>
      <c r="AV504" s="46"/>
    </row>
    <row r="505" spans="1:48" ht="33.75" hidden="1" x14ac:dyDescent="0.2">
      <c r="A505" s="32">
        <v>636</v>
      </c>
      <c r="B505" s="122" t="s">
        <v>2001</v>
      </c>
      <c r="C505" s="116"/>
      <c r="D505" s="107">
        <v>1426</v>
      </c>
      <c r="E505" s="46" t="s">
        <v>2002</v>
      </c>
      <c r="F505" s="46" t="s">
        <v>59</v>
      </c>
      <c r="G505" s="46"/>
      <c r="H505" s="105"/>
      <c r="I505" s="107">
        <v>6223</v>
      </c>
      <c r="J505" s="107"/>
      <c r="K505" s="140">
        <v>1.2</v>
      </c>
      <c r="L505" s="118" t="s">
        <v>650</v>
      </c>
      <c r="M505" s="147" t="s">
        <v>117</v>
      </c>
      <c r="N505" s="42" t="s">
        <v>76</v>
      </c>
      <c r="O505" s="148" t="s">
        <v>1449</v>
      </c>
      <c r="P505" s="46" t="s">
        <v>229</v>
      </c>
      <c r="Q505" s="46" t="s">
        <v>1381</v>
      </c>
      <c r="R505" s="33" t="s">
        <v>2003</v>
      </c>
      <c r="S505" s="45">
        <f t="shared" si="116"/>
        <v>1666825.73</v>
      </c>
      <c r="T505" s="45">
        <f>1666825.74-0.01</f>
        <v>1666825.73</v>
      </c>
      <c r="U505" s="45">
        <v>0</v>
      </c>
      <c r="V505" s="109" t="s">
        <v>2004</v>
      </c>
      <c r="W505" s="63">
        <v>42003</v>
      </c>
      <c r="X505" s="48"/>
      <c r="Y505" s="109" t="s">
        <v>234</v>
      </c>
      <c r="Z505" s="45"/>
      <c r="AA505" s="45"/>
      <c r="AB505" s="45">
        <f t="shared" si="113"/>
        <v>0</v>
      </c>
      <c r="AC505" s="48"/>
      <c r="AD505" s="63"/>
      <c r="AE505" s="51">
        <f t="shared" si="109"/>
        <v>0</v>
      </c>
      <c r="AF505" s="52">
        <f t="shared" si="112"/>
        <v>0</v>
      </c>
      <c r="AG505" s="52">
        <f>1666825.74-0.01</f>
        <v>1666825.73</v>
      </c>
      <c r="AH505" s="52">
        <f>911844.42+563769.15+191212.16</f>
        <v>1666825.73</v>
      </c>
      <c r="AI505" s="52">
        <f t="shared" si="114"/>
        <v>0</v>
      </c>
      <c r="AJ505" s="124">
        <v>0</v>
      </c>
      <c r="AK505" s="45">
        <v>0</v>
      </c>
      <c r="AL505" s="52">
        <f t="shared" si="107"/>
        <v>0</v>
      </c>
      <c r="AM505" s="52">
        <f t="shared" si="110"/>
        <v>1666825.73</v>
      </c>
      <c r="AN505" s="51">
        <f t="shared" si="111"/>
        <v>1666825.73</v>
      </c>
      <c r="AO505" s="51">
        <f t="shared" si="108"/>
        <v>0</v>
      </c>
      <c r="AP505" s="125" t="s">
        <v>1750</v>
      </c>
      <c r="AQ505" s="52"/>
      <c r="AR505" s="51"/>
      <c r="AS505" s="51">
        <f t="shared" si="117"/>
        <v>0</v>
      </c>
      <c r="AT505" s="126">
        <f t="shared" si="115"/>
        <v>0</v>
      </c>
      <c r="AU505" s="48"/>
      <c r="AV505" s="46"/>
    </row>
    <row r="506" spans="1:48" ht="23.25" hidden="1" customHeight="1" x14ac:dyDescent="0.2">
      <c r="A506" s="32">
        <v>636</v>
      </c>
      <c r="B506" s="122" t="s">
        <v>2006</v>
      </c>
      <c r="C506" s="116"/>
      <c r="D506" s="107">
        <v>1400</v>
      </c>
      <c r="E506" s="46" t="s">
        <v>2007</v>
      </c>
      <c r="F506" s="37" t="s">
        <v>59</v>
      </c>
      <c r="G506" s="46"/>
      <c r="H506" s="33" t="s">
        <v>284</v>
      </c>
      <c r="I506" s="107">
        <v>6132</v>
      </c>
      <c r="J506" s="107"/>
      <c r="K506" s="169">
        <v>2.11</v>
      </c>
      <c r="L506" s="118" t="s">
        <v>1686</v>
      </c>
      <c r="M506" s="147" t="s">
        <v>250</v>
      </c>
      <c r="N506" s="117" t="s">
        <v>1687</v>
      </c>
      <c r="O506" s="148" t="s">
        <v>252</v>
      </c>
      <c r="P506" s="46" t="s">
        <v>1909</v>
      </c>
      <c r="Q506" s="46" t="s">
        <v>2008</v>
      </c>
      <c r="R506" s="33" t="s">
        <v>2009</v>
      </c>
      <c r="S506" s="45">
        <f t="shared" si="116"/>
        <v>291110.64999999997</v>
      </c>
      <c r="T506" s="45">
        <f>286704.16-2932.43</f>
        <v>283771.73</v>
      </c>
      <c r="U506" s="45">
        <f>7414.76-75.84</f>
        <v>7338.92</v>
      </c>
      <c r="V506" s="67" t="s">
        <v>2010</v>
      </c>
      <c r="W506" s="47" t="s">
        <v>2011</v>
      </c>
      <c r="X506" s="48"/>
      <c r="Y506" s="109" t="s">
        <v>282</v>
      </c>
      <c r="Z506" s="45">
        <v>7338.92</v>
      </c>
      <c r="AA506" s="45"/>
      <c r="AB506" s="45">
        <f t="shared" si="113"/>
        <v>7338.92</v>
      </c>
      <c r="AC506" s="48"/>
      <c r="AD506" s="63"/>
      <c r="AE506" s="51">
        <f t="shared" si="109"/>
        <v>0</v>
      </c>
      <c r="AF506" s="52">
        <f t="shared" si="112"/>
        <v>0</v>
      </c>
      <c r="AG506" s="52">
        <v>283771.73</v>
      </c>
      <c r="AH506" s="52">
        <f>85131.52+176928.88+21711.33</f>
        <v>283771.73000000004</v>
      </c>
      <c r="AI506" s="52">
        <f t="shared" si="114"/>
        <v>-5.8207660913467407E-11</v>
      </c>
      <c r="AJ506" s="124">
        <v>0</v>
      </c>
      <c r="AK506" s="45">
        <v>0</v>
      </c>
      <c r="AL506" s="52">
        <f t="shared" si="107"/>
        <v>0</v>
      </c>
      <c r="AM506" s="52">
        <f t="shared" si="110"/>
        <v>291110.64999999997</v>
      </c>
      <c r="AN506" s="51">
        <f t="shared" si="111"/>
        <v>283771.73000000004</v>
      </c>
      <c r="AO506" s="51">
        <f t="shared" si="108"/>
        <v>7338.9199999999255</v>
      </c>
      <c r="AP506" s="125" t="s">
        <v>767</v>
      </c>
      <c r="AQ506" s="52">
        <v>73389.240000000005</v>
      </c>
      <c r="AR506" s="51">
        <f>65367.81+8021.43</f>
        <v>73389.239999999991</v>
      </c>
      <c r="AS506" s="51">
        <f t="shared" si="117"/>
        <v>1.4551915228366852E-11</v>
      </c>
      <c r="AT506" s="126">
        <f t="shared" si="115"/>
        <v>7338.9199999999255</v>
      </c>
      <c r="AU506" s="48"/>
      <c r="AV506" s="46"/>
    </row>
    <row r="507" spans="1:48" ht="24" hidden="1" customHeight="1" x14ac:dyDescent="0.2">
      <c r="A507" s="32">
        <v>636</v>
      </c>
      <c r="B507" s="122" t="s">
        <v>2012</v>
      </c>
      <c r="C507" s="116"/>
      <c r="D507" s="107">
        <v>1379</v>
      </c>
      <c r="E507" s="46" t="s">
        <v>2013</v>
      </c>
      <c r="F507" s="46"/>
      <c r="G507" s="46" t="s">
        <v>1792</v>
      </c>
      <c r="H507" s="33" t="s">
        <v>284</v>
      </c>
      <c r="I507" s="107">
        <v>6132</v>
      </c>
      <c r="J507" s="107"/>
      <c r="K507" s="169">
        <v>2.11</v>
      </c>
      <c r="L507" s="118" t="s">
        <v>1686</v>
      </c>
      <c r="M507" s="147" t="s">
        <v>250</v>
      </c>
      <c r="N507" s="117" t="s">
        <v>1687</v>
      </c>
      <c r="O507" s="148" t="s">
        <v>252</v>
      </c>
      <c r="P507" s="46" t="s">
        <v>299</v>
      </c>
      <c r="Q507" s="46" t="s">
        <v>2014</v>
      </c>
      <c r="R507" s="256" t="s">
        <v>2015</v>
      </c>
      <c r="S507" s="45">
        <f t="shared" si="116"/>
        <v>305881.63</v>
      </c>
      <c r="T507" s="45">
        <v>298170.33</v>
      </c>
      <c r="U507" s="45">
        <v>7711.3</v>
      </c>
      <c r="V507" s="109" t="s">
        <v>2016</v>
      </c>
      <c r="W507" s="63">
        <v>42002</v>
      </c>
      <c r="X507" s="48"/>
      <c r="Y507" s="109" t="s">
        <v>282</v>
      </c>
      <c r="Z507" s="45">
        <v>7663.31</v>
      </c>
      <c r="AA507" s="45"/>
      <c r="AB507" s="45">
        <f t="shared" si="113"/>
        <v>7663.31</v>
      </c>
      <c r="AC507" s="48"/>
      <c r="AD507" s="63"/>
      <c r="AE507" s="51">
        <f t="shared" si="109"/>
        <v>47.989999999999782</v>
      </c>
      <c r="AF507" s="52">
        <f t="shared" si="112"/>
        <v>1855.75</v>
      </c>
      <c r="AG507" s="52">
        <v>296314.58</v>
      </c>
      <c r="AH507" s="52">
        <f>88894.37+180504.94</f>
        <v>269399.31</v>
      </c>
      <c r="AI507" s="52">
        <f t="shared" si="114"/>
        <v>26915.270000000019</v>
      </c>
      <c r="AJ507" s="124">
        <v>0</v>
      </c>
      <c r="AK507" s="45">
        <v>0</v>
      </c>
      <c r="AL507" s="52">
        <f t="shared" ref="AL507:AL526" si="118">+AJ507-AK507</f>
        <v>0</v>
      </c>
      <c r="AM507" s="52">
        <f t="shared" si="110"/>
        <v>303977.89</v>
      </c>
      <c r="AN507" s="51">
        <f t="shared" si="111"/>
        <v>269399.31</v>
      </c>
      <c r="AO507" s="51">
        <f t="shared" ref="AO507:AO526" si="119">+AM507-AN507</f>
        <v>34578.580000000016</v>
      </c>
      <c r="AP507" s="125" t="s">
        <v>205</v>
      </c>
      <c r="AQ507" s="52">
        <v>76633.08</v>
      </c>
      <c r="AR507" s="51">
        <v>66689.02</v>
      </c>
      <c r="AS507" s="51">
        <f t="shared" si="117"/>
        <v>9944.0599999999977</v>
      </c>
      <c r="AT507" s="51">
        <f t="shared" si="115"/>
        <v>36482.320000000007</v>
      </c>
      <c r="AU507" s="48"/>
      <c r="AV507" s="46"/>
    </row>
    <row r="508" spans="1:48" ht="26.25" hidden="1" customHeight="1" x14ac:dyDescent="0.2">
      <c r="A508" s="32">
        <v>636</v>
      </c>
      <c r="B508" s="122" t="s">
        <v>2017</v>
      </c>
      <c r="C508" s="116"/>
      <c r="D508" s="107">
        <v>1381</v>
      </c>
      <c r="E508" s="46" t="s">
        <v>2018</v>
      </c>
      <c r="F508" s="46"/>
      <c r="G508" s="46" t="s">
        <v>1792</v>
      </c>
      <c r="H508" s="33" t="s">
        <v>284</v>
      </c>
      <c r="I508" s="107">
        <v>6132</v>
      </c>
      <c r="J508" s="107"/>
      <c r="K508" s="169">
        <v>2.11</v>
      </c>
      <c r="L508" s="118" t="s">
        <v>1686</v>
      </c>
      <c r="M508" s="147" t="s">
        <v>250</v>
      </c>
      <c r="N508" s="117" t="s">
        <v>1687</v>
      </c>
      <c r="O508" s="148" t="s">
        <v>252</v>
      </c>
      <c r="P508" s="46" t="s">
        <v>299</v>
      </c>
      <c r="Q508" s="46" t="s">
        <v>2019</v>
      </c>
      <c r="R508" s="258"/>
      <c r="S508" s="45">
        <f>T508+U508</f>
        <v>294667.70999999996</v>
      </c>
      <c r="T508" s="45">
        <v>287239.11</v>
      </c>
      <c r="U508" s="45">
        <v>7428.6</v>
      </c>
      <c r="V508" s="109" t="s">
        <v>2016</v>
      </c>
      <c r="W508" s="63">
        <v>42002</v>
      </c>
      <c r="X508" s="48"/>
      <c r="Y508" s="109" t="s">
        <v>282</v>
      </c>
      <c r="Z508" s="45">
        <v>7347.4</v>
      </c>
      <c r="AA508" s="45"/>
      <c r="AB508" s="45">
        <f>Z508-AA508</f>
        <v>7347.4</v>
      </c>
      <c r="AC508" s="48"/>
      <c r="AD508" s="63"/>
      <c r="AE508" s="51">
        <f>U508-Z508</f>
        <v>81.200000000000728</v>
      </c>
      <c r="AF508" s="52">
        <f t="shared" si="112"/>
        <v>3139.7799999999697</v>
      </c>
      <c r="AG508" s="52">
        <v>284099.33</v>
      </c>
      <c r="AH508" s="52">
        <f>85229.81+170009.72</f>
        <v>255239.53</v>
      </c>
      <c r="AI508" s="52">
        <f>SUM(AG508-AH508)</f>
        <v>28859.800000000017</v>
      </c>
      <c r="AJ508" s="124">
        <v>0</v>
      </c>
      <c r="AK508" s="45">
        <v>0</v>
      </c>
      <c r="AL508" s="52">
        <f>+AJ508-AK508</f>
        <v>0</v>
      </c>
      <c r="AM508" s="52">
        <f>SUM(AG508+Z508)+AJ508</f>
        <v>291446.73000000004</v>
      </c>
      <c r="AN508" s="51">
        <f>SUM(AA508+AH508)+AK508</f>
        <v>255239.53</v>
      </c>
      <c r="AO508" s="51">
        <f>+AM508-AN508</f>
        <v>36207.200000000041</v>
      </c>
      <c r="AP508" s="125" t="s">
        <v>205</v>
      </c>
      <c r="AQ508" s="52">
        <v>73473.97</v>
      </c>
      <c r="AR508" s="51">
        <v>62811.47</v>
      </c>
      <c r="AS508" s="51">
        <f>SUM(AQ508-AR508)</f>
        <v>10662.5</v>
      </c>
      <c r="AT508" s="51">
        <f>SUM(S508-AN508)</f>
        <v>39428.179999999964</v>
      </c>
      <c r="AU508" s="48"/>
      <c r="AV508" s="46"/>
    </row>
    <row r="509" spans="1:48" s="187" customFormat="1" ht="23.25" hidden="1" customHeight="1" x14ac:dyDescent="0.2">
      <c r="A509" s="32">
        <v>636</v>
      </c>
      <c r="B509" s="122" t="s">
        <v>2020</v>
      </c>
      <c r="C509" s="116"/>
      <c r="D509" s="107">
        <v>1414</v>
      </c>
      <c r="E509" s="46" t="s">
        <v>2021</v>
      </c>
      <c r="F509" s="46"/>
      <c r="G509" s="46"/>
      <c r="H509" s="33" t="s">
        <v>284</v>
      </c>
      <c r="I509" s="107">
        <v>6132</v>
      </c>
      <c r="J509" s="107"/>
      <c r="K509" s="169">
        <v>2.11</v>
      </c>
      <c r="L509" s="118" t="s">
        <v>1686</v>
      </c>
      <c r="M509" s="147" t="s">
        <v>250</v>
      </c>
      <c r="N509" s="117" t="s">
        <v>1687</v>
      </c>
      <c r="O509" s="148" t="s">
        <v>252</v>
      </c>
      <c r="P509" s="46" t="s">
        <v>299</v>
      </c>
      <c r="Q509" s="46" t="s">
        <v>2022</v>
      </c>
      <c r="R509" s="33" t="s">
        <v>2023</v>
      </c>
      <c r="S509" s="45">
        <f t="shared" si="116"/>
        <v>452399.38</v>
      </c>
      <c r="T509" s="45">
        <v>440994.35</v>
      </c>
      <c r="U509" s="45">
        <v>11405.03</v>
      </c>
      <c r="V509" s="109" t="s">
        <v>2016</v>
      </c>
      <c r="W509" s="63">
        <v>42002</v>
      </c>
      <c r="X509" s="48"/>
      <c r="Y509" s="109" t="s">
        <v>282</v>
      </c>
      <c r="Z509" s="45">
        <v>11250</v>
      </c>
      <c r="AA509" s="45"/>
      <c r="AB509" s="45">
        <f t="shared" si="113"/>
        <v>11250</v>
      </c>
      <c r="AC509" s="48"/>
      <c r="AD509" s="63"/>
      <c r="AE509" s="51">
        <f t="shared" ref="AE509:AE526" si="120">U509-Z509</f>
        <v>155.03000000000065</v>
      </c>
      <c r="AF509" s="52">
        <f t="shared" si="112"/>
        <v>5994.4099999999744</v>
      </c>
      <c r="AG509" s="52">
        <v>434999.94</v>
      </c>
      <c r="AH509" s="52">
        <v>130499.98</v>
      </c>
      <c r="AI509" s="52">
        <f t="shared" ref="AI509:AI516" si="121">SUM(AG509-AH509)</f>
        <v>304499.96000000002</v>
      </c>
      <c r="AJ509" s="124">
        <v>0</v>
      </c>
      <c r="AK509" s="45">
        <v>0</v>
      </c>
      <c r="AL509" s="52">
        <f t="shared" si="118"/>
        <v>0</v>
      </c>
      <c r="AM509" s="52">
        <f t="shared" si="110"/>
        <v>446249.94</v>
      </c>
      <c r="AN509" s="51">
        <f t="shared" si="111"/>
        <v>130499.98</v>
      </c>
      <c r="AO509" s="182">
        <f t="shared" si="119"/>
        <v>315749.96000000002</v>
      </c>
      <c r="AP509" s="183" t="s">
        <v>105</v>
      </c>
      <c r="AQ509" s="184">
        <v>112499.98</v>
      </c>
      <c r="AR509" s="182"/>
      <c r="AS509" s="182">
        <f t="shared" si="117"/>
        <v>112499.98</v>
      </c>
      <c r="AT509" s="51">
        <f t="shared" ref="AT509:AT516" si="122">SUM(S509-AN509)</f>
        <v>321899.40000000002</v>
      </c>
      <c r="AU509" s="185"/>
      <c r="AV509" s="186"/>
    </row>
    <row r="510" spans="1:48" ht="24" hidden="1" customHeight="1" x14ac:dyDescent="0.2">
      <c r="A510" s="32">
        <v>636</v>
      </c>
      <c r="B510" s="122" t="s">
        <v>2024</v>
      </c>
      <c r="C510" s="116"/>
      <c r="D510" s="107">
        <v>1380</v>
      </c>
      <c r="E510" s="46" t="s">
        <v>2025</v>
      </c>
      <c r="F510" s="46"/>
      <c r="G510" s="46" t="s">
        <v>1792</v>
      </c>
      <c r="H510" s="33" t="s">
        <v>284</v>
      </c>
      <c r="I510" s="107">
        <v>6132</v>
      </c>
      <c r="J510" s="107"/>
      <c r="K510" s="169">
        <v>2.11</v>
      </c>
      <c r="L510" s="118" t="s">
        <v>1686</v>
      </c>
      <c r="M510" s="147" t="s">
        <v>250</v>
      </c>
      <c r="N510" s="117" t="s">
        <v>1687</v>
      </c>
      <c r="O510" s="148" t="s">
        <v>252</v>
      </c>
      <c r="P510" s="46" t="s">
        <v>299</v>
      </c>
      <c r="Q510" s="46" t="s">
        <v>2019</v>
      </c>
      <c r="R510" s="33" t="s">
        <v>2026</v>
      </c>
      <c r="S510" s="45">
        <f t="shared" si="116"/>
        <v>202562.66999999998</v>
      </c>
      <c r="T510" s="45">
        <v>197456.05</v>
      </c>
      <c r="U510" s="45">
        <v>5106.62</v>
      </c>
      <c r="V510" s="109" t="s">
        <v>2016</v>
      </c>
      <c r="W510" s="63">
        <v>42002</v>
      </c>
      <c r="X510" s="48"/>
      <c r="Y510" s="109" t="s">
        <v>282</v>
      </c>
      <c r="Z510" s="45">
        <v>5069.1499999999996</v>
      </c>
      <c r="AA510" s="45">
        <v>4477.2299999999996</v>
      </c>
      <c r="AB510" s="45">
        <f t="shared" si="113"/>
        <v>591.92000000000007</v>
      </c>
      <c r="AC510" s="48" t="s">
        <v>93</v>
      </c>
      <c r="AD510" s="63">
        <v>42083</v>
      </c>
      <c r="AE510" s="51">
        <f t="shared" si="120"/>
        <v>37.470000000000255</v>
      </c>
      <c r="AF510" s="52">
        <f t="shared" si="112"/>
        <v>1448.7399999999907</v>
      </c>
      <c r="AG510" s="52">
        <v>196007.31</v>
      </c>
      <c r="AH510" s="52">
        <v>58802.2</v>
      </c>
      <c r="AI510" s="52">
        <f t="shared" si="121"/>
        <v>137205.10999999999</v>
      </c>
      <c r="AJ510" s="124">
        <v>0</v>
      </c>
      <c r="AK510" s="45">
        <v>0</v>
      </c>
      <c r="AL510" s="52">
        <f t="shared" si="118"/>
        <v>0</v>
      </c>
      <c r="AM510" s="52">
        <f t="shared" si="110"/>
        <v>201076.46</v>
      </c>
      <c r="AN510" s="51">
        <f t="shared" si="111"/>
        <v>63279.429999999993</v>
      </c>
      <c r="AO510" s="51">
        <f t="shared" si="119"/>
        <v>137797.03</v>
      </c>
      <c r="AP510" s="125" t="s">
        <v>105</v>
      </c>
      <c r="AQ510" s="52">
        <v>58802.2</v>
      </c>
      <c r="AR510" s="51"/>
      <c r="AS510" s="51">
        <f t="shared" si="117"/>
        <v>58802.2</v>
      </c>
      <c r="AT510" s="51">
        <f t="shared" si="122"/>
        <v>139283.24</v>
      </c>
      <c r="AU510" s="48"/>
      <c r="AV510" s="46"/>
    </row>
    <row r="511" spans="1:48" ht="24.75" hidden="1" x14ac:dyDescent="0.2">
      <c r="A511" s="32">
        <v>636</v>
      </c>
      <c r="B511" s="122" t="s">
        <v>2027</v>
      </c>
      <c r="C511" s="116"/>
      <c r="D511" s="107"/>
      <c r="E511" s="46" t="s">
        <v>2028</v>
      </c>
      <c r="F511" s="46"/>
      <c r="G511" s="46"/>
      <c r="H511" s="33" t="s">
        <v>284</v>
      </c>
      <c r="I511" s="107">
        <v>6132</v>
      </c>
      <c r="J511" s="107"/>
      <c r="K511" s="169">
        <v>2.11</v>
      </c>
      <c r="L511" s="118" t="s">
        <v>1686</v>
      </c>
      <c r="M511" s="147" t="s">
        <v>250</v>
      </c>
      <c r="N511" s="117" t="s">
        <v>1687</v>
      </c>
      <c r="O511" s="148" t="s">
        <v>252</v>
      </c>
      <c r="P511" s="46" t="s">
        <v>299</v>
      </c>
      <c r="Q511" s="46" t="s">
        <v>2029</v>
      </c>
      <c r="R511" s="33" t="s">
        <v>2030</v>
      </c>
      <c r="S511" s="45">
        <f t="shared" si="116"/>
        <v>282085.18</v>
      </c>
      <c r="T511" s="45">
        <v>274973.78999999998</v>
      </c>
      <c r="U511" s="45">
        <v>7111.39</v>
      </c>
      <c r="V511" s="109" t="s">
        <v>2016</v>
      </c>
      <c r="W511" s="63">
        <v>42002</v>
      </c>
      <c r="X511" s="48"/>
      <c r="Y511" s="109" t="s">
        <v>282</v>
      </c>
      <c r="Z511" s="45">
        <v>7064.85</v>
      </c>
      <c r="AA511" s="45">
        <f>1171.02+2767.76</f>
        <v>3938.78</v>
      </c>
      <c r="AB511" s="45">
        <f t="shared" si="113"/>
        <v>3126.07</v>
      </c>
      <c r="AC511" s="48" t="s">
        <v>93</v>
      </c>
      <c r="AD511" s="63">
        <v>42108</v>
      </c>
      <c r="AE511" s="51">
        <f t="shared" si="120"/>
        <v>46.539999999999964</v>
      </c>
      <c r="AF511" s="52">
        <f t="shared" si="112"/>
        <v>1799.5799999999581</v>
      </c>
      <c r="AG511" s="52">
        <v>273174.21000000002</v>
      </c>
      <c r="AH511" s="52">
        <v>81952.259999999995</v>
      </c>
      <c r="AI511" s="52">
        <f t="shared" si="121"/>
        <v>191221.95</v>
      </c>
      <c r="AJ511" s="124">
        <v>0</v>
      </c>
      <c r="AK511" s="45">
        <v>0</v>
      </c>
      <c r="AL511" s="52">
        <f t="shared" si="118"/>
        <v>0</v>
      </c>
      <c r="AM511" s="52">
        <f t="shared" si="110"/>
        <v>280239.06</v>
      </c>
      <c r="AN511" s="51">
        <f t="shared" si="111"/>
        <v>85891.04</v>
      </c>
      <c r="AO511" s="51">
        <f t="shared" si="119"/>
        <v>194348.02000000002</v>
      </c>
      <c r="AP511" s="125" t="s">
        <v>105</v>
      </c>
      <c r="AQ511" s="52">
        <v>70648.5</v>
      </c>
      <c r="AR511" s="51"/>
      <c r="AS511" s="51">
        <f t="shared" si="117"/>
        <v>70648.5</v>
      </c>
      <c r="AT511" s="51">
        <f t="shared" si="122"/>
        <v>196194.14</v>
      </c>
      <c r="AU511" s="48"/>
      <c r="AV511" s="46"/>
    </row>
    <row r="512" spans="1:48" ht="33" hidden="1" customHeight="1" x14ac:dyDescent="0.2">
      <c r="A512" s="151">
        <v>639</v>
      </c>
      <c r="B512" s="122" t="s">
        <v>2031</v>
      </c>
      <c r="C512" s="116"/>
      <c r="D512" s="107">
        <v>1407</v>
      </c>
      <c r="E512" s="46" t="s">
        <v>2032</v>
      </c>
      <c r="F512" s="37" t="s">
        <v>59</v>
      </c>
      <c r="G512" s="46" t="s">
        <v>2033</v>
      </c>
      <c r="H512" s="33" t="s">
        <v>576</v>
      </c>
      <c r="I512" s="107">
        <v>6222</v>
      </c>
      <c r="J512" s="107"/>
      <c r="K512" s="39" t="s">
        <v>577</v>
      </c>
      <c r="L512" s="40" t="s">
        <v>1027</v>
      </c>
      <c r="M512" s="147" t="s">
        <v>75</v>
      </c>
      <c r="N512" s="42" t="s">
        <v>76</v>
      </c>
      <c r="O512" s="41" t="s">
        <v>77</v>
      </c>
      <c r="P512" s="46" t="s">
        <v>428</v>
      </c>
      <c r="Q512" s="46" t="s">
        <v>2034</v>
      </c>
      <c r="R512" s="33" t="s">
        <v>2035</v>
      </c>
      <c r="S512" s="45">
        <f t="shared" si="116"/>
        <v>604937.31999999995</v>
      </c>
      <c r="T512" s="45">
        <f>608690.88-3753.56</f>
        <v>604937.31999999995</v>
      </c>
      <c r="U512" s="45">
        <v>0</v>
      </c>
      <c r="V512" s="67" t="s">
        <v>2036</v>
      </c>
      <c r="W512" s="47" t="s">
        <v>2037</v>
      </c>
      <c r="X512" s="48"/>
      <c r="Y512" s="109" t="s">
        <v>234</v>
      </c>
      <c r="Z512" s="45"/>
      <c r="AA512" s="45"/>
      <c r="AB512" s="45">
        <f t="shared" si="113"/>
        <v>0</v>
      </c>
      <c r="AC512" s="48"/>
      <c r="AD512" s="63"/>
      <c r="AE512" s="51">
        <f t="shared" si="120"/>
        <v>0</v>
      </c>
      <c r="AF512" s="52">
        <f t="shared" si="112"/>
        <v>0</v>
      </c>
      <c r="AG512" s="52">
        <v>604937.31999999995</v>
      </c>
      <c r="AH512" s="52">
        <f>181481.2+235701.71+143067.66+44686.75</f>
        <v>604937.32000000007</v>
      </c>
      <c r="AI512" s="52">
        <f t="shared" si="121"/>
        <v>-1.1641532182693481E-10</v>
      </c>
      <c r="AJ512" s="124">
        <v>0</v>
      </c>
      <c r="AK512" s="45">
        <v>0</v>
      </c>
      <c r="AL512" s="52">
        <f t="shared" si="118"/>
        <v>0</v>
      </c>
      <c r="AM512" s="52">
        <f t="shared" si="110"/>
        <v>604937.31999999995</v>
      </c>
      <c r="AN512" s="51">
        <f t="shared" si="111"/>
        <v>604937.32000000007</v>
      </c>
      <c r="AO512" s="51">
        <f t="shared" si="119"/>
        <v>0</v>
      </c>
      <c r="AP512" s="125" t="s">
        <v>71</v>
      </c>
      <c r="AQ512" s="52">
        <v>156449.31</v>
      </c>
      <c r="AR512" s="51">
        <f>87081.91+52857.51+16509.89</f>
        <v>156449.31</v>
      </c>
      <c r="AS512" s="51">
        <f t="shared" si="117"/>
        <v>0</v>
      </c>
      <c r="AT512" s="126">
        <f t="shared" si="122"/>
        <v>-1.1641532182693481E-10</v>
      </c>
      <c r="AU512" s="48"/>
      <c r="AV512" s="46"/>
    </row>
    <row r="513" spans="1:54" ht="20.25" hidden="1" customHeight="1" x14ac:dyDescent="0.2">
      <c r="A513" s="151">
        <v>639</v>
      </c>
      <c r="B513" s="122" t="s">
        <v>2038</v>
      </c>
      <c r="C513" s="116"/>
      <c r="D513" s="107">
        <v>1319</v>
      </c>
      <c r="E513" s="46" t="s">
        <v>2039</v>
      </c>
      <c r="F513" s="46"/>
      <c r="G513" s="46" t="s">
        <v>951</v>
      </c>
      <c r="H513" s="33" t="s">
        <v>576</v>
      </c>
      <c r="I513" s="107">
        <v>6222</v>
      </c>
      <c r="J513" s="107"/>
      <c r="K513" s="39" t="s">
        <v>577</v>
      </c>
      <c r="L513" s="40" t="s">
        <v>1027</v>
      </c>
      <c r="M513" s="147" t="s">
        <v>75</v>
      </c>
      <c r="N513" s="42" t="s">
        <v>76</v>
      </c>
      <c r="O513" s="41" t="s">
        <v>77</v>
      </c>
      <c r="P513" s="46" t="s">
        <v>104</v>
      </c>
      <c r="Q513" s="46" t="s">
        <v>2040</v>
      </c>
      <c r="R513" s="33" t="s">
        <v>2041</v>
      </c>
      <c r="S513" s="45">
        <f t="shared" si="116"/>
        <v>1413918.19</v>
      </c>
      <c r="T513" s="45">
        <v>1413918.19</v>
      </c>
      <c r="U513" s="45">
        <v>0</v>
      </c>
      <c r="V513" s="109" t="s">
        <v>1935</v>
      </c>
      <c r="W513" s="63">
        <v>41995</v>
      </c>
      <c r="X513" s="48"/>
      <c r="Y513" s="109" t="s">
        <v>234</v>
      </c>
      <c r="Z513" s="45"/>
      <c r="AA513" s="45"/>
      <c r="AB513" s="45">
        <f t="shared" si="113"/>
        <v>0</v>
      </c>
      <c r="AC513" s="48"/>
      <c r="AD513" s="63"/>
      <c r="AE513" s="51">
        <f t="shared" si="120"/>
        <v>0</v>
      </c>
      <c r="AF513" s="52">
        <f t="shared" si="112"/>
        <v>6384.4099999999162</v>
      </c>
      <c r="AG513" s="52">
        <v>1407533.78</v>
      </c>
      <c r="AH513" s="52">
        <f>422260.14+745286.66+239986.98</f>
        <v>1407533.78</v>
      </c>
      <c r="AI513" s="52">
        <f t="shared" si="121"/>
        <v>0</v>
      </c>
      <c r="AJ513" s="124">
        <v>0</v>
      </c>
      <c r="AK513" s="45">
        <v>0</v>
      </c>
      <c r="AL513" s="52">
        <f t="shared" si="118"/>
        <v>0</v>
      </c>
      <c r="AM513" s="52">
        <f t="shared" si="110"/>
        <v>1407533.78</v>
      </c>
      <c r="AN513" s="51">
        <f t="shared" si="111"/>
        <v>1407533.78</v>
      </c>
      <c r="AO513" s="51">
        <f t="shared" si="119"/>
        <v>0</v>
      </c>
      <c r="AP513" s="125" t="s">
        <v>1296</v>
      </c>
      <c r="AQ513" s="52">
        <v>364017.36</v>
      </c>
      <c r="AR513" s="51">
        <f>275352.21+88665.15</f>
        <v>364017.36</v>
      </c>
      <c r="AS513" s="51">
        <f t="shared" si="117"/>
        <v>0</v>
      </c>
      <c r="AT513" s="51">
        <f t="shared" si="122"/>
        <v>6384.4099999999162</v>
      </c>
      <c r="AU513" s="48"/>
      <c r="AV513" s="46"/>
    </row>
    <row r="514" spans="1:54" ht="33" hidden="1" customHeight="1" x14ac:dyDescent="0.2">
      <c r="A514" s="32">
        <v>636</v>
      </c>
      <c r="B514" s="122" t="s">
        <v>2042</v>
      </c>
      <c r="C514" s="116"/>
      <c r="D514" s="107">
        <v>1398</v>
      </c>
      <c r="E514" s="46" t="s">
        <v>2043</v>
      </c>
      <c r="F514" s="46"/>
      <c r="G514" s="46"/>
      <c r="H514" s="33" t="s">
        <v>1717</v>
      </c>
      <c r="I514" s="107">
        <v>6227</v>
      </c>
      <c r="J514" s="107"/>
      <c r="K514" s="39">
        <v>9</v>
      </c>
      <c r="L514" s="118" t="s">
        <v>1718</v>
      </c>
      <c r="M514" s="147" t="s">
        <v>62</v>
      </c>
      <c r="N514" s="42" t="s">
        <v>76</v>
      </c>
      <c r="O514" s="148" t="s">
        <v>2044</v>
      </c>
      <c r="P514" s="46" t="s">
        <v>229</v>
      </c>
      <c r="Q514" s="46" t="s">
        <v>2045</v>
      </c>
      <c r="R514" s="33" t="s">
        <v>2046</v>
      </c>
      <c r="S514" s="45">
        <f t="shared" si="116"/>
        <v>200000000</v>
      </c>
      <c r="T514" s="45">
        <v>198292307.69</v>
      </c>
      <c r="U514" s="45">
        <v>1707692.31</v>
      </c>
      <c r="V514" s="109" t="s">
        <v>2047</v>
      </c>
      <c r="W514" s="63">
        <v>41997</v>
      </c>
      <c r="X514" s="48"/>
      <c r="Y514" s="109" t="s">
        <v>123</v>
      </c>
      <c r="Z514" s="45">
        <v>1688554</v>
      </c>
      <c r="AA514" s="45">
        <f>100000+10943.39+13132.08+13132.08+4012.44+22871.02+3004.4+2365.82+18056.61+13132.08+13132.08+13132.08+13132.08+13132.08+5471.7+15320.75+5800+6629.37+20000+13132.08+11600+13132.07+13132.08+13132.08+10943.4+12891.32+13132.08+10943.39+50000+11600+13132.08+13132.08+13132.08-13132.08+5914.84+9164+13132.08+11600+15428+13132.08+15320.77+10943.4+10943.39+12891.32+15320.75+13132.08+13132.08+11600+13132.08+13132.08+13132.08+13132.08+3672.61+13132.08+13132.08+13132.08+13132.07+12891.32+13132.08+10943.4+13132.08+13132.07+13132.08+13132.08+15428+15320.75+13132.08+11600+6566.04+6566.04+13132.08+13132.08+13132.08+13132.08+13132.08+13132.08+13132.07+13132.07+12891.32+15320.75+15428+13132.08+11600+13132.08+13132.08+10943.4+13132.08+13132.08+13132.07+13132.08+11600+12891.32+15320.75+13132.07+13132.08+13132.08+13132.08+13132.08+13132.08+13132.08+13132.08+13132.08+10943.4+13132.08+13132.08+15428</f>
        <v>1418595.7500000005</v>
      </c>
      <c r="AB514" s="45">
        <f t="shared" si="113"/>
        <v>269958.24999999953</v>
      </c>
      <c r="AC514" s="48" t="s">
        <v>82</v>
      </c>
      <c r="AD514" s="63">
        <v>42340</v>
      </c>
      <c r="AE514" s="51">
        <f t="shared" si="120"/>
        <v>19138.310000000056</v>
      </c>
      <c r="AF514" s="52">
        <f t="shared" si="112"/>
        <v>2251188.3800000013</v>
      </c>
      <c r="AG514" s="52">
        <v>195872263.91</v>
      </c>
      <c r="AH514" s="52">
        <f>97936131.95+50634.41+1020865.2+5743739.56</f>
        <v>104751371.12</v>
      </c>
      <c r="AI514" s="52">
        <f t="shared" si="121"/>
        <v>91120892.789999992</v>
      </c>
      <c r="AJ514" s="124">
        <v>168855.4</v>
      </c>
      <c r="AK514" s="45">
        <v>11750.41</v>
      </c>
      <c r="AL514" s="52">
        <f t="shared" si="118"/>
        <v>157104.99</v>
      </c>
      <c r="AM514" s="52">
        <f t="shared" si="110"/>
        <v>197729673.31</v>
      </c>
      <c r="AN514" s="51">
        <f t="shared" si="111"/>
        <v>106181717.28</v>
      </c>
      <c r="AO514" s="51">
        <f t="shared" si="119"/>
        <v>91547956.030000001</v>
      </c>
      <c r="AP514" s="125" t="s">
        <v>647</v>
      </c>
      <c r="AQ514" s="52">
        <v>84427699.959999993</v>
      </c>
      <c r="AR514" s="51">
        <f>43650.35+880056.22+4951499.63</f>
        <v>5875206.2000000002</v>
      </c>
      <c r="AS514" s="51">
        <f t="shared" si="117"/>
        <v>78552493.75999999</v>
      </c>
      <c r="AT514" s="51">
        <f t="shared" si="122"/>
        <v>93818282.719999999</v>
      </c>
      <c r="AU514" s="48"/>
      <c r="AV514" s="46"/>
    </row>
    <row r="515" spans="1:54" ht="24" hidden="1" customHeight="1" x14ac:dyDescent="0.2">
      <c r="A515" s="32">
        <v>636</v>
      </c>
      <c r="B515" s="122" t="s">
        <v>2048</v>
      </c>
      <c r="C515" s="116"/>
      <c r="D515" s="107">
        <v>1425</v>
      </c>
      <c r="E515" s="46" t="s">
        <v>2049</v>
      </c>
      <c r="F515" s="46"/>
      <c r="G515" s="46"/>
      <c r="H515" s="33" t="s">
        <v>1007</v>
      </c>
      <c r="I515" s="107">
        <v>6142</v>
      </c>
      <c r="J515" s="107"/>
      <c r="K515" s="39">
        <v>7</v>
      </c>
      <c r="L515" s="118" t="s">
        <v>2050</v>
      </c>
      <c r="M515" s="147" t="s">
        <v>108</v>
      </c>
      <c r="N515" s="42" t="s">
        <v>63</v>
      </c>
      <c r="O515" s="148" t="s">
        <v>88</v>
      </c>
      <c r="P515" s="46" t="s">
        <v>229</v>
      </c>
      <c r="Q515" s="46" t="s">
        <v>798</v>
      </c>
      <c r="R515" s="33" t="s">
        <v>2051</v>
      </c>
      <c r="S515" s="45">
        <f>T515+U515</f>
        <v>49000000</v>
      </c>
      <c r="T515" s="45">
        <v>48581615.380000003</v>
      </c>
      <c r="U515" s="45">
        <v>418384.62</v>
      </c>
      <c r="V515" s="109" t="s">
        <v>2052</v>
      </c>
      <c r="W515" s="63">
        <v>42004</v>
      </c>
      <c r="X515" s="48"/>
      <c r="Y515" s="109" t="s">
        <v>123</v>
      </c>
      <c r="Z515" s="45">
        <v>414492.61</v>
      </c>
      <c r="AA515" s="45">
        <f>11600+11600+14562.73+23386.76+10943.4+13132.08+11600+4044.05+11600+11600+15320.75+5778.25+11600+11600+13132.08-13132.08+13132.08-13132.08+13132.08-13132.08+12891.32-12891.32+10943.4-10943.4+11600-11600+11600-11600+15320.75-15320.75+13132.08-13132.08+13132.07-13132.07+13132.08-13132.08+13132.08-13132.08+13132.08-13132.08+13132.08+13132.08+13132.08+13132.08+12891.32+10943.4+11600+11600+15320.75+13132.07+13132.08+13132.08+13132.08+13132.08+7714+7660.38</f>
        <v>364286.58</v>
      </c>
      <c r="AB515" s="45">
        <f t="shared" si="113"/>
        <v>50206.02999999997</v>
      </c>
      <c r="AC515" s="48" t="s">
        <v>82</v>
      </c>
      <c r="AD515" s="63">
        <v>42271</v>
      </c>
      <c r="AE515" s="51">
        <f t="shared" si="120"/>
        <v>3892.0100000000093</v>
      </c>
      <c r="AF515" s="52">
        <f t="shared" si="112"/>
        <v>459022.81000000029</v>
      </c>
      <c r="AG515" s="52">
        <v>48081143.310000002</v>
      </c>
      <c r="AH515" s="52">
        <v>24040571.66</v>
      </c>
      <c r="AI515" s="52">
        <f t="shared" si="121"/>
        <v>24040571.650000002</v>
      </c>
      <c r="AJ515" s="124">
        <v>41449.26</v>
      </c>
      <c r="AK515" s="45">
        <v>0</v>
      </c>
      <c r="AL515" s="52">
        <f t="shared" si="118"/>
        <v>41449.26</v>
      </c>
      <c r="AM515" s="52">
        <f t="shared" si="110"/>
        <v>48537085.18</v>
      </c>
      <c r="AN515" s="51">
        <f t="shared" si="111"/>
        <v>24404858.239999998</v>
      </c>
      <c r="AO515" s="51">
        <f t="shared" si="119"/>
        <v>24132226.940000001</v>
      </c>
      <c r="AP515" s="125" t="s">
        <v>2053</v>
      </c>
      <c r="AQ515" s="52">
        <v>20724630.739999998</v>
      </c>
      <c r="AR515" s="51"/>
      <c r="AS515" s="51">
        <f t="shared" si="117"/>
        <v>20724630.739999998</v>
      </c>
      <c r="AT515" s="51">
        <f t="shared" si="122"/>
        <v>24595141.760000002</v>
      </c>
      <c r="AU515" s="48"/>
      <c r="AV515" s="46"/>
    </row>
    <row r="516" spans="1:54" ht="35.25" hidden="1" customHeight="1" x14ac:dyDescent="0.2">
      <c r="A516" s="32">
        <v>636</v>
      </c>
      <c r="B516" s="122" t="s">
        <v>2054</v>
      </c>
      <c r="C516" s="116"/>
      <c r="D516" s="107">
        <v>1431</v>
      </c>
      <c r="E516" s="46" t="s">
        <v>2055</v>
      </c>
      <c r="F516" s="46"/>
      <c r="G516" s="46"/>
      <c r="H516" s="33" t="s">
        <v>1717</v>
      </c>
      <c r="I516" s="107">
        <v>6227</v>
      </c>
      <c r="J516" s="107"/>
      <c r="K516" s="39">
        <v>9</v>
      </c>
      <c r="L516" s="118" t="s">
        <v>1718</v>
      </c>
      <c r="M516" s="147" t="s">
        <v>62</v>
      </c>
      <c r="N516" s="42" t="s">
        <v>76</v>
      </c>
      <c r="O516" s="148" t="s">
        <v>2044</v>
      </c>
      <c r="P516" s="46" t="s">
        <v>229</v>
      </c>
      <c r="Q516" s="46" t="s">
        <v>2005</v>
      </c>
      <c r="R516" s="33" t="s">
        <v>2056</v>
      </c>
      <c r="S516" s="45">
        <f>T516+U516</f>
        <v>100000000</v>
      </c>
      <c r="T516" s="45">
        <v>99146153.849999994</v>
      </c>
      <c r="U516" s="45">
        <v>853846.15</v>
      </c>
      <c r="V516" s="109" t="s">
        <v>2057</v>
      </c>
      <c r="W516" s="63">
        <v>42004</v>
      </c>
      <c r="X516" s="48"/>
      <c r="Y516" s="109" t="s">
        <v>123</v>
      </c>
      <c r="Z516" s="45">
        <v>846000.01</v>
      </c>
      <c r="AA516" s="45">
        <f>50000+15320.75+10006.85+21190.3+11600+13132.08+13132.07+12891.32+13132.08+13132.07+12180+1589.2+10579.2+6496+11787.92+10092</f>
        <v>226261.84000000005</v>
      </c>
      <c r="AB516" s="45">
        <f t="shared" si="113"/>
        <v>619738.16999999993</v>
      </c>
      <c r="AC516" s="48" t="s">
        <v>93</v>
      </c>
      <c r="AD516" s="63">
        <v>42198</v>
      </c>
      <c r="AE516" s="51">
        <f t="shared" si="120"/>
        <v>7846.140000000014</v>
      </c>
      <c r="AF516" s="52">
        <f t="shared" si="112"/>
        <v>925552.89999999106</v>
      </c>
      <c r="AG516" s="52">
        <v>98136000.950000003</v>
      </c>
      <c r="AH516" s="52">
        <f>49068000.48+2117979.54+854199.03</f>
        <v>52040179.049999997</v>
      </c>
      <c r="AI516" s="52">
        <f t="shared" si="121"/>
        <v>46095821.900000006</v>
      </c>
      <c r="AJ516" s="124">
        <v>84600</v>
      </c>
      <c r="AK516" s="45">
        <v>0</v>
      </c>
      <c r="AL516" s="52">
        <f t="shared" si="118"/>
        <v>84600</v>
      </c>
      <c r="AM516" s="52">
        <f t="shared" ref="AM516" si="123">SUM(AG516+Z516)+AJ516</f>
        <v>99066600.960000008</v>
      </c>
      <c r="AN516" s="51">
        <f t="shared" ref="AN516:AN526" si="124">SUM(AA516+AH516)+AK516</f>
        <v>52266440.890000001</v>
      </c>
      <c r="AO516" s="51">
        <f t="shared" si="119"/>
        <v>46800160.070000008</v>
      </c>
      <c r="AP516" s="125" t="s">
        <v>2058</v>
      </c>
      <c r="AQ516" s="52">
        <v>42300000.409999996</v>
      </c>
      <c r="AR516" s="51">
        <f>1825844.43+736378.47</f>
        <v>2562222.9</v>
      </c>
      <c r="AS516" s="51">
        <f t="shared" si="117"/>
        <v>39737777.509999998</v>
      </c>
      <c r="AT516" s="51">
        <f t="shared" si="122"/>
        <v>47733559.109999999</v>
      </c>
      <c r="AU516" s="48"/>
      <c r="AV516" s="46"/>
    </row>
    <row r="517" spans="1:54" ht="20.25" hidden="1" customHeight="1" x14ac:dyDescent="0.2">
      <c r="A517" s="151">
        <v>639</v>
      </c>
      <c r="B517" s="122" t="s">
        <v>2059</v>
      </c>
      <c r="C517" s="116"/>
      <c r="D517" s="107">
        <v>1304</v>
      </c>
      <c r="E517" s="46" t="s">
        <v>2060</v>
      </c>
      <c r="F517" s="46"/>
      <c r="G517" s="46" t="s">
        <v>427</v>
      </c>
      <c r="H517" s="33" t="s">
        <v>576</v>
      </c>
      <c r="I517" s="107">
        <v>6222</v>
      </c>
      <c r="J517" s="107"/>
      <c r="K517" s="39" t="s">
        <v>577</v>
      </c>
      <c r="L517" s="40" t="s">
        <v>1027</v>
      </c>
      <c r="M517" s="147" t="s">
        <v>75</v>
      </c>
      <c r="N517" s="42" t="s">
        <v>63</v>
      </c>
      <c r="O517" s="41" t="s">
        <v>77</v>
      </c>
      <c r="P517" s="46" t="s">
        <v>428</v>
      </c>
      <c r="Q517" s="46" t="s">
        <v>680</v>
      </c>
      <c r="R517" s="33" t="s">
        <v>2061</v>
      </c>
      <c r="S517" s="45">
        <f t="shared" ref="S517:S526" si="125">T517+U517</f>
        <v>380965.42</v>
      </c>
      <c r="T517" s="45">
        <v>380965.42</v>
      </c>
      <c r="U517" s="45">
        <v>0</v>
      </c>
      <c r="V517" s="109" t="s">
        <v>1935</v>
      </c>
      <c r="W517" s="63">
        <v>41995</v>
      </c>
      <c r="X517" s="48"/>
      <c r="Y517" s="109" t="s">
        <v>234</v>
      </c>
      <c r="Z517" s="45"/>
      <c r="AA517" s="45"/>
      <c r="AB517" s="45">
        <f t="shared" si="113"/>
        <v>0</v>
      </c>
      <c r="AC517" s="48"/>
      <c r="AD517" s="63"/>
      <c r="AE517" s="51">
        <f t="shared" si="120"/>
        <v>0</v>
      </c>
      <c r="AF517" s="52">
        <f t="shared" ref="AF517:AF526" si="126">T517-AG517-AJ517</f>
        <v>3065.4500000000116</v>
      </c>
      <c r="AG517" s="52">
        <v>377899.97</v>
      </c>
      <c r="AH517" s="52">
        <f>113369.99+229558.26+34971.72</f>
        <v>377899.97</v>
      </c>
      <c r="AI517" s="52">
        <f t="shared" ref="AI517:AI526" si="127">SUM(AG517-AH517)</f>
        <v>0</v>
      </c>
      <c r="AJ517" s="124">
        <v>0</v>
      </c>
      <c r="AK517" s="45">
        <v>0</v>
      </c>
      <c r="AL517" s="52">
        <f t="shared" si="118"/>
        <v>0</v>
      </c>
      <c r="AM517" s="52">
        <f t="shared" ref="AM517:AM526" si="128">SUM(AG517+Z517)+AJ517</f>
        <v>377899.97</v>
      </c>
      <c r="AN517" s="51">
        <f t="shared" si="124"/>
        <v>377899.97</v>
      </c>
      <c r="AO517" s="51">
        <f t="shared" si="119"/>
        <v>0</v>
      </c>
      <c r="AP517" s="125" t="s">
        <v>146</v>
      </c>
      <c r="AQ517" s="52">
        <v>97732.75</v>
      </c>
      <c r="AR517" s="51">
        <f>84812.17+12920.58</f>
        <v>97732.75</v>
      </c>
      <c r="AS517" s="51">
        <f t="shared" ref="AS517:AS526" si="129">SUM(AQ517-AR517)</f>
        <v>0</v>
      </c>
      <c r="AT517" s="126">
        <f t="shared" ref="AT517:AT526" si="130">SUM(S517-AN517)</f>
        <v>3065.4500000000116</v>
      </c>
      <c r="AU517" s="48"/>
      <c r="AV517" s="46"/>
    </row>
    <row r="518" spans="1:54" ht="25.5" hidden="1" customHeight="1" x14ac:dyDescent="0.2">
      <c r="A518" s="32">
        <v>636</v>
      </c>
      <c r="B518" s="259" t="s">
        <v>2062</v>
      </c>
      <c r="C518" s="116" t="s">
        <v>27</v>
      </c>
      <c r="D518" s="107">
        <v>1436</v>
      </c>
      <c r="E518" s="253" t="s">
        <v>2063</v>
      </c>
      <c r="F518" s="82"/>
      <c r="G518" s="82"/>
      <c r="H518" s="33" t="s">
        <v>2064</v>
      </c>
      <c r="I518" s="107" t="s">
        <v>27</v>
      </c>
      <c r="J518" s="107">
        <v>4</v>
      </c>
      <c r="K518" s="39">
        <v>8</v>
      </c>
      <c r="L518" s="118" t="s">
        <v>1982</v>
      </c>
      <c r="M518" s="147" t="s">
        <v>278</v>
      </c>
      <c r="N518" s="117" t="s">
        <v>2065</v>
      </c>
      <c r="O518" s="117" t="s">
        <v>88</v>
      </c>
      <c r="P518" s="46" t="s">
        <v>2066</v>
      </c>
      <c r="Q518" s="46" t="s">
        <v>2067</v>
      </c>
      <c r="R518" s="33" t="s">
        <v>2068</v>
      </c>
      <c r="S518" s="45">
        <f t="shared" si="125"/>
        <v>1174188</v>
      </c>
      <c r="T518" s="45">
        <v>1174188</v>
      </c>
      <c r="U518" s="45">
        <v>0</v>
      </c>
      <c r="V518" s="109" t="s">
        <v>169</v>
      </c>
      <c r="W518" s="63"/>
      <c r="X518" s="48"/>
      <c r="Y518" s="109" t="s">
        <v>234</v>
      </c>
      <c r="Z518" s="45"/>
      <c r="AA518" s="45"/>
      <c r="AB518" s="45">
        <f t="shared" si="113"/>
        <v>0</v>
      </c>
      <c r="AC518" s="48"/>
      <c r="AD518" s="63"/>
      <c r="AE518" s="51">
        <f t="shared" si="120"/>
        <v>0</v>
      </c>
      <c r="AF518" s="52">
        <f t="shared" si="126"/>
        <v>0</v>
      </c>
      <c r="AG518" s="52">
        <v>1174188</v>
      </c>
      <c r="AH518" s="52">
        <v>1174188</v>
      </c>
      <c r="AI518" s="52">
        <f t="shared" si="127"/>
        <v>0</v>
      </c>
      <c r="AJ518" s="124">
        <v>0</v>
      </c>
      <c r="AK518" s="45">
        <v>0</v>
      </c>
      <c r="AL518" s="52">
        <f t="shared" si="118"/>
        <v>0</v>
      </c>
      <c r="AM518" s="52">
        <f t="shared" si="128"/>
        <v>1174188</v>
      </c>
      <c r="AN518" s="51">
        <f t="shared" si="124"/>
        <v>1174188</v>
      </c>
      <c r="AO518" s="51">
        <f t="shared" si="119"/>
        <v>0</v>
      </c>
      <c r="AP518" s="125"/>
      <c r="AQ518" s="52"/>
      <c r="AR518" s="51"/>
      <c r="AS518" s="51">
        <f t="shared" si="129"/>
        <v>0</v>
      </c>
      <c r="AT518" s="126">
        <f t="shared" si="130"/>
        <v>0</v>
      </c>
      <c r="AU518" s="48"/>
      <c r="AV518" s="46" t="s">
        <v>2069</v>
      </c>
    </row>
    <row r="519" spans="1:54" ht="32.25" hidden="1" customHeight="1" x14ac:dyDescent="0.2">
      <c r="A519" s="32">
        <v>636</v>
      </c>
      <c r="B519" s="261"/>
      <c r="C519" s="116" t="s">
        <v>27</v>
      </c>
      <c r="D519" s="107">
        <v>1437</v>
      </c>
      <c r="E519" s="255"/>
      <c r="F519" s="36"/>
      <c r="G519" s="36"/>
      <c r="H519" s="105"/>
      <c r="I519" s="107">
        <v>8519</v>
      </c>
      <c r="J519" s="107">
        <v>4</v>
      </c>
      <c r="K519" s="39">
        <v>2</v>
      </c>
      <c r="L519" s="40" t="s">
        <v>61</v>
      </c>
      <c r="M519" s="147" t="s">
        <v>278</v>
      </c>
      <c r="N519" s="117" t="s">
        <v>2065</v>
      </c>
      <c r="O519" s="117" t="s">
        <v>88</v>
      </c>
      <c r="P519" s="46" t="s">
        <v>2066</v>
      </c>
      <c r="Q519" s="46" t="s">
        <v>2067</v>
      </c>
      <c r="R519" s="33" t="s">
        <v>2068</v>
      </c>
      <c r="S519" s="45">
        <f t="shared" si="125"/>
        <v>391396</v>
      </c>
      <c r="T519" s="45">
        <v>391396</v>
      </c>
      <c r="U519" s="45">
        <v>0</v>
      </c>
      <c r="V519" s="109" t="s">
        <v>2070</v>
      </c>
      <c r="W519" s="63">
        <v>42004</v>
      </c>
      <c r="X519" s="48"/>
      <c r="Y519" s="109" t="s">
        <v>234</v>
      </c>
      <c r="Z519" s="45"/>
      <c r="AA519" s="45"/>
      <c r="AB519" s="45">
        <f t="shared" si="113"/>
        <v>0</v>
      </c>
      <c r="AC519" s="48"/>
      <c r="AD519" s="63"/>
      <c r="AE519" s="51">
        <f t="shared" si="120"/>
        <v>0</v>
      </c>
      <c r="AF519" s="52">
        <f t="shared" si="126"/>
        <v>0</v>
      </c>
      <c r="AG519" s="52">
        <v>391396</v>
      </c>
      <c r="AH519" s="52">
        <v>391396</v>
      </c>
      <c r="AI519" s="52">
        <f t="shared" si="127"/>
        <v>0</v>
      </c>
      <c r="AJ519" s="124">
        <v>0</v>
      </c>
      <c r="AK519" s="45">
        <v>0</v>
      </c>
      <c r="AL519" s="52">
        <f t="shared" si="118"/>
        <v>0</v>
      </c>
      <c r="AM519" s="52">
        <f t="shared" si="128"/>
        <v>391396</v>
      </c>
      <c r="AN519" s="51">
        <f t="shared" si="124"/>
        <v>391396</v>
      </c>
      <c r="AO519" s="51">
        <f t="shared" si="119"/>
        <v>0</v>
      </c>
      <c r="AP519" s="125"/>
      <c r="AQ519" s="52"/>
      <c r="AR519" s="51"/>
      <c r="AS519" s="51">
        <f t="shared" si="129"/>
        <v>0</v>
      </c>
      <c r="AT519" s="126">
        <f t="shared" si="130"/>
        <v>0</v>
      </c>
      <c r="AU519" s="48"/>
      <c r="AV519" s="46"/>
    </row>
    <row r="520" spans="1:54" ht="20.25" hidden="1" customHeight="1" x14ac:dyDescent="0.2">
      <c r="A520" s="151">
        <v>639</v>
      </c>
      <c r="B520" s="122" t="s">
        <v>2071</v>
      </c>
      <c r="C520" s="116"/>
      <c r="D520" s="107">
        <v>1309</v>
      </c>
      <c r="E520" s="46" t="s">
        <v>2072</v>
      </c>
      <c r="F520" s="46"/>
      <c r="G520" s="46" t="s">
        <v>763</v>
      </c>
      <c r="H520" s="33" t="s">
        <v>209</v>
      </c>
      <c r="I520" s="107">
        <v>6222</v>
      </c>
      <c r="J520" s="107"/>
      <c r="K520" s="39">
        <v>2.2999999999999998</v>
      </c>
      <c r="L520" s="40" t="s">
        <v>210</v>
      </c>
      <c r="M520" s="147" t="s">
        <v>2073</v>
      </c>
      <c r="N520" s="42" t="s">
        <v>76</v>
      </c>
      <c r="O520" s="41" t="s">
        <v>77</v>
      </c>
      <c r="P520" s="46" t="s">
        <v>104</v>
      </c>
      <c r="Q520" s="46" t="s">
        <v>2074</v>
      </c>
      <c r="R520" s="33" t="s">
        <v>2075</v>
      </c>
      <c r="S520" s="45">
        <f t="shared" si="125"/>
        <v>1290407.95</v>
      </c>
      <c r="T520" s="45">
        <v>1268536.6299999999</v>
      </c>
      <c r="U520" s="45">
        <v>21871.32</v>
      </c>
      <c r="V520" s="109" t="s">
        <v>2076</v>
      </c>
      <c r="W520" s="63">
        <v>41981</v>
      </c>
      <c r="X520" s="48"/>
      <c r="Y520" s="109" t="s">
        <v>246</v>
      </c>
      <c r="Z520" s="45">
        <v>21506.93</v>
      </c>
      <c r="AA520" s="45"/>
      <c r="AB520" s="45">
        <f t="shared" si="113"/>
        <v>21506.93</v>
      </c>
      <c r="AC520" s="48"/>
      <c r="AD520" s="63"/>
      <c r="AE520" s="51">
        <f t="shared" si="120"/>
        <v>364.38999999999942</v>
      </c>
      <c r="AF520" s="52">
        <f t="shared" si="126"/>
        <v>21134.769999999786</v>
      </c>
      <c r="AG520" s="52">
        <v>1247401.8600000001</v>
      </c>
      <c r="AH520" s="52">
        <f>374220.56+769493.9+80027.51</f>
        <v>1223741.97</v>
      </c>
      <c r="AI520" s="52">
        <f t="shared" si="127"/>
        <v>23659.89000000013</v>
      </c>
      <c r="AJ520" s="124">
        <v>0</v>
      </c>
      <c r="AK520" s="45">
        <v>0</v>
      </c>
      <c r="AL520" s="52">
        <f t="shared" si="118"/>
        <v>0</v>
      </c>
      <c r="AM520" s="52">
        <f t="shared" si="128"/>
        <v>1268908.79</v>
      </c>
      <c r="AN520" s="51">
        <f t="shared" si="124"/>
        <v>1223741.97</v>
      </c>
      <c r="AO520" s="51">
        <f t="shared" si="119"/>
        <v>45166.820000000065</v>
      </c>
      <c r="AP520" s="125" t="s">
        <v>71</v>
      </c>
      <c r="AQ520" s="52">
        <v>322603.93</v>
      </c>
      <c r="AR520" s="51">
        <f>284295.77+29566.81</f>
        <v>313862.58</v>
      </c>
      <c r="AS520" s="51">
        <f t="shared" si="129"/>
        <v>8741.3499999999767</v>
      </c>
      <c r="AT520" s="51">
        <f t="shared" si="130"/>
        <v>66665.979999999981</v>
      </c>
      <c r="AU520" s="48"/>
      <c r="AV520" s="46"/>
    </row>
    <row r="521" spans="1:54" ht="24" hidden="1" customHeight="1" x14ac:dyDescent="0.2">
      <c r="A521" s="151">
        <v>639</v>
      </c>
      <c r="B521" s="122" t="s">
        <v>2077</v>
      </c>
      <c r="C521" s="116"/>
      <c r="D521" s="107">
        <v>1296</v>
      </c>
      <c r="E521" s="46" t="s">
        <v>2078</v>
      </c>
      <c r="F521" s="37" t="s">
        <v>59</v>
      </c>
      <c r="G521" s="46" t="s">
        <v>427</v>
      </c>
      <c r="H521" s="33" t="s">
        <v>576</v>
      </c>
      <c r="I521" s="107">
        <v>6222</v>
      </c>
      <c r="J521" s="107"/>
      <c r="K521" s="39" t="s">
        <v>577</v>
      </c>
      <c r="L521" s="118" t="s">
        <v>2079</v>
      </c>
      <c r="M521" s="147" t="s">
        <v>1072</v>
      </c>
      <c r="N521" s="42" t="s">
        <v>76</v>
      </c>
      <c r="O521" s="41" t="s">
        <v>77</v>
      </c>
      <c r="P521" s="46" t="s">
        <v>428</v>
      </c>
      <c r="Q521" s="46" t="s">
        <v>2080</v>
      </c>
      <c r="R521" s="33" t="s">
        <v>2081</v>
      </c>
      <c r="S521" s="45">
        <f t="shared" si="125"/>
        <v>450078.32</v>
      </c>
      <c r="T521" s="45">
        <f>453419.71-3341.39</f>
        <v>450078.32</v>
      </c>
      <c r="U521" s="45">
        <v>0</v>
      </c>
      <c r="V521" s="67" t="s">
        <v>2082</v>
      </c>
      <c r="W521" s="47" t="s">
        <v>2083</v>
      </c>
      <c r="X521" s="48"/>
      <c r="Y521" s="109"/>
      <c r="Z521" s="45"/>
      <c r="AA521" s="45"/>
      <c r="AB521" s="45">
        <f t="shared" si="113"/>
        <v>0</v>
      </c>
      <c r="AC521" s="48"/>
      <c r="AD521" s="63"/>
      <c r="AE521" s="51">
        <f t="shared" si="120"/>
        <v>0</v>
      </c>
      <c r="AF521" s="52">
        <f t="shared" si="126"/>
        <v>0</v>
      </c>
      <c r="AG521" s="52">
        <v>450078.32</v>
      </c>
      <c r="AH521" s="52">
        <f>135023.5+154688.18+128659.71+31706.93</f>
        <v>450078.32</v>
      </c>
      <c r="AI521" s="52">
        <f t="shared" si="127"/>
        <v>0</v>
      </c>
      <c r="AJ521" s="124">
        <v>0</v>
      </c>
      <c r="AK521" s="45">
        <v>0</v>
      </c>
      <c r="AL521" s="52">
        <f t="shared" si="118"/>
        <v>0</v>
      </c>
      <c r="AM521" s="52">
        <f t="shared" si="128"/>
        <v>450078.32</v>
      </c>
      <c r="AN521" s="51">
        <f t="shared" si="124"/>
        <v>450078.32</v>
      </c>
      <c r="AO521" s="51">
        <f t="shared" si="119"/>
        <v>0</v>
      </c>
      <c r="AP521" s="125" t="s">
        <v>71</v>
      </c>
      <c r="AQ521" s="52">
        <v>116399.57</v>
      </c>
      <c r="AR521" s="51">
        <f>57150.8+47534.38+11714.39</f>
        <v>116399.56999999999</v>
      </c>
      <c r="AS521" s="51">
        <f t="shared" si="129"/>
        <v>1.4551915228366852E-11</v>
      </c>
      <c r="AT521" s="126">
        <f t="shared" si="130"/>
        <v>0</v>
      </c>
      <c r="AU521" s="48"/>
      <c r="AV521" s="46"/>
    </row>
    <row r="522" spans="1:54" ht="27.6" hidden="1" customHeight="1" x14ac:dyDescent="0.2">
      <c r="A522" s="151">
        <v>639</v>
      </c>
      <c r="B522" s="122" t="s">
        <v>2084</v>
      </c>
      <c r="C522" s="116"/>
      <c r="D522" s="107">
        <v>1295</v>
      </c>
      <c r="E522" s="46" t="s">
        <v>2085</v>
      </c>
      <c r="F522" s="37" t="s">
        <v>59</v>
      </c>
      <c r="G522" s="46" t="s">
        <v>427</v>
      </c>
      <c r="H522" s="33" t="s">
        <v>576</v>
      </c>
      <c r="I522" s="107">
        <v>6222</v>
      </c>
      <c r="J522" s="107"/>
      <c r="K522" s="39" t="s">
        <v>577</v>
      </c>
      <c r="L522" s="118" t="s">
        <v>2079</v>
      </c>
      <c r="M522" s="147" t="s">
        <v>1072</v>
      </c>
      <c r="N522" s="42" t="s">
        <v>76</v>
      </c>
      <c r="O522" s="41" t="s">
        <v>77</v>
      </c>
      <c r="P522" s="46" t="s">
        <v>428</v>
      </c>
      <c r="Q522" s="46" t="s">
        <v>2086</v>
      </c>
      <c r="R522" s="33" t="s">
        <v>2087</v>
      </c>
      <c r="S522" s="45">
        <f t="shared" si="125"/>
        <v>859556.24</v>
      </c>
      <c r="T522" s="45">
        <f>863523.54-3967.3</f>
        <v>859556.24</v>
      </c>
      <c r="U522" s="45">
        <v>0</v>
      </c>
      <c r="V522" s="67" t="s">
        <v>2088</v>
      </c>
      <c r="W522" s="47" t="s">
        <v>2083</v>
      </c>
      <c r="X522" s="48"/>
      <c r="Y522" s="109"/>
      <c r="Z522" s="45"/>
      <c r="AA522" s="45"/>
      <c r="AB522" s="45">
        <f t="shared" si="113"/>
        <v>0</v>
      </c>
      <c r="AC522" s="48"/>
      <c r="AD522" s="63"/>
      <c r="AE522" s="51">
        <f t="shared" si="120"/>
        <v>0</v>
      </c>
      <c r="AF522" s="52">
        <f t="shared" si="126"/>
        <v>0</v>
      </c>
      <c r="AG522" s="52">
        <v>859556.24</v>
      </c>
      <c r="AH522" s="52">
        <f>257866.87+489405.79+49364.64+62918.94</f>
        <v>859556.24</v>
      </c>
      <c r="AI522" s="52">
        <f t="shared" si="127"/>
        <v>0</v>
      </c>
      <c r="AJ522" s="124">
        <v>0</v>
      </c>
      <c r="AK522" s="45">
        <v>0</v>
      </c>
      <c r="AL522" s="52">
        <f t="shared" si="118"/>
        <v>0</v>
      </c>
      <c r="AM522" s="52">
        <f t="shared" si="128"/>
        <v>859556.24</v>
      </c>
      <c r="AN522" s="51">
        <f t="shared" si="124"/>
        <v>859556.24</v>
      </c>
      <c r="AO522" s="51">
        <f t="shared" si="119"/>
        <v>0</v>
      </c>
      <c r="AP522" s="125" t="s">
        <v>71</v>
      </c>
      <c r="AQ522" s="52">
        <v>222299.03</v>
      </c>
      <c r="AR522" s="51">
        <f>180814.95+18238.16+23245.92</f>
        <v>222299.03000000003</v>
      </c>
      <c r="AS522" s="51">
        <f t="shared" si="129"/>
        <v>-2.9103830456733704E-11</v>
      </c>
      <c r="AT522" s="126">
        <f t="shared" si="130"/>
        <v>0</v>
      </c>
      <c r="AU522" s="48"/>
      <c r="AV522" s="46"/>
    </row>
    <row r="523" spans="1:54" ht="25.9" hidden="1" customHeight="1" x14ac:dyDescent="0.2">
      <c r="A523" s="151">
        <v>639</v>
      </c>
      <c r="B523" s="122" t="s">
        <v>2089</v>
      </c>
      <c r="C523" s="116"/>
      <c r="D523" s="107">
        <v>1298</v>
      </c>
      <c r="E523" s="46" t="s">
        <v>2090</v>
      </c>
      <c r="F523" s="37" t="s">
        <v>59</v>
      </c>
      <c r="G523" s="46" t="s">
        <v>427</v>
      </c>
      <c r="H523" s="33" t="s">
        <v>576</v>
      </c>
      <c r="I523" s="107">
        <v>6222</v>
      </c>
      <c r="J523" s="107"/>
      <c r="K523" s="39" t="s">
        <v>577</v>
      </c>
      <c r="L523" s="118" t="s">
        <v>2079</v>
      </c>
      <c r="M523" s="147" t="s">
        <v>1072</v>
      </c>
      <c r="N523" s="42" t="s">
        <v>76</v>
      </c>
      <c r="O523" s="41" t="s">
        <v>77</v>
      </c>
      <c r="P523" s="46" t="s">
        <v>428</v>
      </c>
      <c r="Q523" s="46" t="s">
        <v>2091</v>
      </c>
      <c r="R523" s="33" t="s">
        <v>2092</v>
      </c>
      <c r="S523" s="45">
        <f t="shared" si="125"/>
        <v>523159.88</v>
      </c>
      <c r="T523" s="45">
        <f>526777.64-3617.76</f>
        <v>523159.88</v>
      </c>
      <c r="U523" s="45">
        <v>0</v>
      </c>
      <c r="V523" s="67" t="s">
        <v>2088</v>
      </c>
      <c r="W523" s="47" t="s">
        <v>2083</v>
      </c>
      <c r="X523" s="48"/>
      <c r="Y523" s="109"/>
      <c r="Z523" s="45"/>
      <c r="AA523" s="45"/>
      <c r="AB523" s="45">
        <f t="shared" ref="AB523" si="131">Z523-AA523</f>
        <v>0</v>
      </c>
      <c r="AC523" s="48"/>
      <c r="AD523" s="63"/>
      <c r="AE523" s="51">
        <f t="shared" si="120"/>
        <v>0</v>
      </c>
      <c r="AF523" s="52">
        <f t="shared" si="126"/>
        <v>0</v>
      </c>
      <c r="AG523" s="52">
        <v>523159.88</v>
      </c>
      <c r="AH523" s="52">
        <f>156947.97+203453.29+126103.07+36655.55</f>
        <v>523159.88</v>
      </c>
      <c r="AI523" s="52">
        <f t="shared" si="127"/>
        <v>0</v>
      </c>
      <c r="AJ523" s="124">
        <v>0</v>
      </c>
      <c r="AK523" s="45">
        <v>0</v>
      </c>
      <c r="AL523" s="52">
        <f t="shared" si="118"/>
        <v>0</v>
      </c>
      <c r="AM523" s="52">
        <f t="shared" si="128"/>
        <v>523159.88</v>
      </c>
      <c r="AN523" s="51">
        <f t="shared" si="124"/>
        <v>523159.88</v>
      </c>
      <c r="AO523" s="51">
        <f t="shared" si="119"/>
        <v>0</v>
      </c>
      <c r="AP523" s="125" t="s">
        <v>71</v>
      </c>
      <c r="AQ523" s="52">
        <v>135299.97</v>
      </c>
      <c r="AR523" s="51">
        <f>75167.48+46589.8+13542.69</f>
        <v>135299.97</v>
      </c>
      <c r="AS523" s="51">
        <f t="shared" si="129"/>
        <v>0</v>
      </c>
      <c r="AT523" s="126">
        <f t="shared" si="130"/>
        <v>0</v>
      </c>
      <c r="AU523" s="48"/>
      <c r="AV523" s="46"/>
    </row>
    <row r="524" spans="1:54" ht="24.6" hidden="1" customHeight="1" x14ac:dyDescent="0.2">
      <c r="A524" s="151">
        <v>639</v>
      </c>
      <c r="B524" s="122" t="s">
        <v>2093</v>
      </c>
      <c r="C524" s="116"/>
      <c r="D524" s="107">
        <v>1395</v>
      </c>
      <c r="E524" s="46" t="s">
        <v>2094</v>
      </c>
      <c r="F524" s="37" t="s">
        <v>59</v>
      </c>
      <c r="G524" s="46"/>
      <c r="H524" s="33" t="s">
        <v>576</v>
      </c>
      <c r="I524" s="107">
        <v>6222</v>
      </c>
      <c r="J524" s="107"/>
      <c r="K524" s="39" t="s">
        <v>577</v>
      </c>
      <c r="L524" s="118" t="s">
        <v>2095</v>
      </c>
      <c r="M524" s="147" t="s">
        <v>1560</v>
      </c>
      <c r="N524" s="42" t="s">
        <v>76</v>
      </c>
      <c r="O524" s="41" t="s">
        <v>77</v>
      </c>
      <c r="P524" s="46" t="s">
        <v>2096</v>
      </c>
      <c r="Q524" s="46" t="s">
        <v>2097</v>
      </c>
      <c r="R524" s="33" t="s">
        <v>2098</v>
      </c>
      <c r="S524" s="45">
        <f t="shared" si="125"/>
        <v>1078390.82</v>
      </c>
      <c r="T524" s="45">
        <f>1088498.07-10107.25</f>
        <v>1078390.82</v>
      </c>
      <c r="U524" s="45">
        <v>0</v>
      </c>
      <c r="V524" s="67" t="s">
        <v>2099</v>
      </c>
      <c r="W524" s="47" t="s">
        <v>2100</v>
      </c>
      <c r="X524" s="48"/>
      <c r="Y524" s="109" t="s">
        <v>101</v>
      </c>
      <c r="Z524" s="45"/>
      <c r="AA524" s="45"/>
      <c r="AB524" s="45">
        <f>Z524-AA524</f>
        <v>0</v>
      </c>
      <c r="AC524" s="48"/>
      <c r="AD524" s="63"/>
      <c r="AE524" s="51">
        <f t="shared" si="120"/>
        <v>0</v>
      </c>
      <c r="AF524" s="52">
        <f t="shared" si="126"/>
        <v>0</v>
      </c>
      <c r="AG524" s="52">
        <v>1078390.82</v>
      </c>
      <c r="AH524" s="52">
        <f>323517.25+675271.59+79601.98</f>
        <v>1078390.82</v>
      </c>
      <c r="AI524" s="52">
        <f t="shared" si="127"/>
        <v>0</v>
      </c>
      <c r="AJ524" s="124">
        <v>0</v>
      </c>
      <c r="AK524" s="45">
        <v>0</v>
      </c>
      <c r="AL524" s="52">
        <f t="shared" si="118"/>
        <v>0</v>
      </c>
      <c r="AM524" s="52">
        <f t="shared" si="128"/>
        <v>1078390.82</v>
      </c>
      <c r="AN524" s="51">
        <f t="shared" si="124"/>
        <v>1078390.82</v>
      </c>
      <c r="AO524" s="51">
        <f t="shared" si="119"/>
        <v>0</v>
      </c>
      <c r="AP524" s="125" t="s">
        <v>105</v>
      </c>
      <c r="AQ524" s="52">
        <v>278894.18</v>
      </c>
      <c r="AR524" s="51">
        <f>249484.58+29409.6</f>
        <v>278894.18</v>
      </c>
      <c r="AS524" s="51">
        <f t="shared" si="129"/>
        <v>0</v>
      </c>
      <c r="AT524" s="126">
        <f t="shared" si="130"/>
        <v>0</v>
      </c>
      <c r="AU524" s="48"/>
      <c r="AV524" s="46"/>
    </row>
    <row r="525" spans="1:54" ht="20.25" hidden="1" customHeight="1" x14ac:dyDescent="0.2">
      <c r="A525" s="32">
        <v>636</v>
      </c>
      <c r="B525" s="122" t="s">
        <v>2101</v>
      </c>
      <c r="C525" s="116"/>
      <c r="D525" s="107">
        <v>441</v>
      </c>
      <c r="E525" s="46" t="s">
        <v>2102</v>
      </c>
      <c r="F525" s="46"/>
      <c r="G525" s="46"/>
      <c r="H525" s="33" t="s">
        <v>226</v>
      </c>
      <c r="I525" s="107">
        <v>6227</v>
      </c>
      <c r="J525" s="107"/>
      <c r="K525" s="39"/>
      <c r="L525" s="118" t="s">
        <v>2103</v>
      </c>
      <c r="M525" s="147" t="s">
        <v>2104</v>
      </c>
      <c r="N525" s="42" t="s">
        <v>76</v>
      </c>
      <c r="O525" s="148" t="s">
        <v>2105</v>
      </c>
      <c r="P525" s="46" t="s">
        <v>2106</v>
      </c>
      <c r="Q525" s="46" t="s">
        <v>2107</v>
      </c>
      <c r="R525" s="33" t="s">
        <v>2108</v>
      </c>
      <c r="S525" s="45">
        <f t="shared" si="125"/>
        <v>1500000</v>
      </c>
      <c r="T525" s="45">
        <v>1500000</v>
      </c>
      <c r="U525" s="45">
        <v>0</v>
      </c>
      <c r="V525" s="109" t="s">
        <v>2109</v>
      </c>
      <c r="W525" s="63">
        <v>41880</v>
      </c>
      <c r="X525" s="48"/>
      <c r="Y525" s="109" t="s">
        <v>101</v>
      </c>
      <c r="Z525" s="45"/>
      <c r="AA525" s="45"/>
      <c r="AB525" s="45">
        <f t="shared" ref="AB525:AB526" si="132">Z525-AA525</f>
        <v>0</v>
      </c>
      <c r="AC525" s="48"/>
      <c r="AD525" s="63"/>
      <c r="AE525" s="51">
        <f t="shared" si="120"/>
        <v>0</v>
      </c>
      <c r="AF525" s="52">
        <f t="shared" si="126"/>
        <v>17767.760000000009</v>
      </c>
      <c r="AG525" s="52">
        <v>1482232.24</v>
      </c>
      <c r="AH525" s="52">
        <v>1482232.24</v>
      </c>
      <c r="AI525" s="52">
        <f t="shared" si="127"/>
        <v>0</v>
      </c>
      <c r="AJ525" s="124">
        <v>0</v>
      </c>
      <c r="AK525" s="45">
        <v>0</v>
      </c>
      <c r="AL525" s="52">
        <f t="shared" si="118"/>
        <v>0</v>
      </c>
      <c r="AM525" s="52">
        <f t="shared" si="128"/>
        <v>1482232.24</v>
      </c>
      <c r="AN525" s="51">
        <f t="shared" si="124"/>
        <v>1482232.24</v>
      </c>
      <c r="AO525" s="51">
        <f t="shared" si="119"/>
        <v>0</v>
      </c>
      <c r="AP525" s="125"/>
      <c r="AQ525" s="52"/>
      <c r="AR525" s="51"/>
      <c r="AS525" s="51">
        <f t="shared" si="129"/>
        <v>0</v>
      </c>
      <c r="AT525" s="126">
        <f t="shared" si="130"/>
        <v>17767.760000000009</v>
      </c>
      <c r="AU525" s="48"/>
      <c r="AV525" s="46"/>
    </row>
    <row r="526" spans="1:54" ht="29.25" hidden="1" customHeight="1" x14ac:dyDescent="0.2">
      <c r="A526" s="32">
        <v>636</v>
      </c>
      <c r="B526" s="72" t="s">
        <v>2110</v>
      </c>
      <c r="C526" s="116"/>
      <c r="D526" s="107"/>
      <c r="E526" s="46" t="s">
        <v>2111</v>
      </c>
      <c r="F526" s="46"/>
      <c r="G526" s="46"/>
      <c r="H526" s="105"/>
      <c r="I526" s="107">
        <v>6132</v>
      </c>
      <c r="J526" s="107"/>
      <c r="K526" s="39"/>
      <c r="L526" s="118" t="s">
        <v>306</v>
      </c>
      <c r="M526" s="147" t="s">
        <v>250</v>
      </c>
      <c r="N526" s="42" t="s">
        <v>76</v>
      </c>
      <c r="O526" s="148"/>
      <c r="P526" s="46" t="s">
        <v>65</v>
      </c>
      <c r="Q526" s="46" t="s">
        <v>2112</v>
      </c>
      <c r="R526" s="33" t="s">
        <v>2113</v>
      </c>
      <c r="S526" s="45">
        <f t="shared" si="125"/>
        <v>410162.08</v>
      </c>
      <c r="T526" s="45">
        <v>410162.08</v>
      </c>
      <c r="U526" s="45">
        <v>0</v>
      </c>
      <c r="V526" s="109" t="s">
        <v>2114</v>
      </c>
      <c r="W526" s="63">
        <v>41904</v>
      </c>
      <c r="X526" s="48"/>
      <c r="Y526" s="109" t="s">
        <v>101</v>
      </c>
      <c r="Z526" s="45"/>
      <c r="AA526" s="45"/>
      <c r="AB526" s="45">
        <f t="shared" si="132"/>
        <v>0</v>
      </c>
      <c r="AC526" s="48"/>
      <c r="AD526" s="63"/>
      <c r="AE526" s="51">
        <f t="shared" si="120"/>
        <v>0</v>
      </c>
      <c r="AF526" s="52">
        <f t="shared" si="126"/>
        <v>1005.429999999993</v>
      </c>
      <c r="AG526" s="52">
        <v>409156.65</v>
      </c>
      <c r="AH526" s="52">
        <v>409156.65</v>
      </c>
      <c r="AI526" s="52">
        <f t="shared" si="127"/>
        <v>0</v>
      </c>
      <c r="AJ526" s="124">
        <v>0</v>
      </c>
      <c r="AK526" s="45">
        <v>0</v>
      </c>
      <c r="AL526" s="52">
        <f t="shared" si="118"/>
        <v>0</v>
      </c>
      <c r="AM526" s="52">
        <f t="shared" si="128"/>
        <v>409156.65</v>
      </c>
      <c r="AN526" s="51">
        <f t="shared" si="124"/>
        <v>409156.65</v>
      </c>
      <c r="AO526" s="51">
        <f t="shared" si="119"/>
        <v>0</v>
      </c>
      <c r="AP526" s="125" t="s">
        <v>205</v>
      </c>
      <c r="AQ526" s="52"/>
      <c r="AR526" s="51"/>
      <c r="AS526" s="51">
        <f t="shared" si="129"/>
        <v>0</v>
      </c>
      <c r="AT526" s="51">
        <f t="shared" si="130"/>
        <v>1005.429999999993</v>
      </c>
      <c r="AU526" s="48"/>
      <c r="AV526" s="46"/>
    </row>
    <row r="527" spans="1:54" s="201" customFormat="1" ht="30" customHeight="1" x14ac:dyDescent="0.2">
      <c r="A527" s="189">
        <v>637</v>
      </c>
      <c r="B527" s="243"/>
      <c r="C527" s="190"/>
      <c r="D527" s="190"/>
      <c r="E527" s="244" t="s">
        <v>2115</v>
      </c>
      <c r="F527" s="191"/>
      <c r="G527" s="191"/>
      <c r="H527" s="192"/>
      <c r="I527" s="193"/>
      <c r="J527" s="193"/>
      <c r="K527" s="193"/>
      <c r="L527" s="245"/>
      <c r="M527" s="245"/>
      <c r="N527" s="245"/>
      <c r="O527" s="245"/>
      <c r="P527" s="246"/>
      <c r="Q527" s="247"/>
      <c r="R527" s="248" t="s">
        <v>27</v>
      </c>
      <c r="S527" s="248">
        <f>SUBTOTAL(9,S8:S526)</f>
        <v>19274274</v>
      </c>
      <c r="T527" s="248">
        <f t="shared" ref="T527:U527" si="133">SUBTOTAL(9,T8:T526)</f>
        <v>18966700.170000002</v>
      </c>
      <c r="U527" s="248">
        <f t="shared" si="133"/>
        <v>307573.83</v>
      </c>
      <c r="V527" s="194"/>
      <c r="W527" s="195"/>
      <c r="X527" s="194"/>
      <c r="Y527" s="194" t="e">
        <f>SUM(#REF!)</f>
        <v>#REF!</v>
      </c>
      <c r="Z527" s="194">
        <f>SUM(Z11:Z526)</f>
        <v>10667222.979999999</v>
      </c>
      <c r="AA527" s="194">
        <f>SUM(AA11:AA526)</f>
        <v>7941431.2500000019</v>
      </c>
      <c r="AB527" s="194">
        <f>SUM(AB11:AB526)</f>
        <v>2725791.7300000004</v>
      </c>
      <c r="AC527" s="196"/>
      <c r="AD527" s="197"/>
      <c r="AE527" s="198">
        <f t="shared" ref="AE527:AM527" si="134">SUM(AE11:AE526)</f>
        <v>263004.15000000037</v>
      </c>
      <c r="AF527" s="198">
        <f t="shared" si="134"/>
        <v>36492613.159999989</v>
      </c>
      <c r="AG527" s="198">
        <f t="shared" si="134"/>
        <v>1492114063.76</v>
      </c>
      <c r="AH527" s="198">
        <f t="shared" si="134"/>
        <v>1269316992.2700005</v>
      </c>
      <c r="AI527" s="198">
        <f t="shared" si="134"/>
        <v>222797071.48999995</v>
      </c>
      <c r="AJ527" s="194">
        <f t="shared" si="134"/>
        <v>332647.15000000002</v>
      </c>
      <c r="AK527" s="194">
        <f t="shared" si="134"/>
        <v>46179.520000000004</v>
      </c>
      <c r="AL527" s="198">
        <f t="shared" si="134"/>
        <v>286467.63</v>
      </c>
      <c r="AM527" s="198">
        <f t="shared" si="134"/>
        <v>1503113933.8900008</v>
      </c>
      <c r="AN527" s="248">
        <f>SUBTOTAL(9,AN8:AN526)</f>
        <v>18721630.030000001</v>
      </c>
      <c r="AO527" s="198">
        <f>SUM(AO11:AO526)</f>
        <v>225807972.68000001</v>
      </c>
      <c r="AP527" s="199">
        <f>SUM(AP11:AP526)</f>
        <v>41948</v>
      </c>
      <c r="AQ527" s="198">
        <f>SUM(AQ11:AQ526)</f>
        <v>510915802.10999995</v>
      </c>
      <c r="AR527" s="198">
        <f>SUM(AR11:AR526)</f>
        <v>342830522.93000013</v>
      </c>
      <c r="AS527" s="198">
        <f>SUM(AS11:AS526)</f>
        <v>168085279.17999998</v>
      </c>
      <c r="AT527" s="248">
        <f>SUBTOTAL(9,AT8:AT526)</f>
        <v>552643.96999999788</v>
      </c>
      <c r="AU527" s="200"/>
      <c r="AV527" s="200"/>
    </row>
    <row r="528" spans="1:54" x14ac:dyDescent="0.2">
      <c r="A528" s="1"/>
      <c r="H528" s="8"/>
      <c r="I528" s="9"/>
      <c r="L528" s="8"/>
      <c r="M528" s="10"/>
      <c r="N528" s="11"/>
      <c r="O528" s="8"/>
      <c r="P528" s="8"/>
      <c r="Q528" s="11"/>
      <c r="R528" s="8"/>
      <c r="S528" s="8"/>
      <c r="T528" s="8"/>
      <c r="U528" s="8"/>
      <c r="W528" s="12"/>
      <c r="X528" s="8"/>
      <c r="Z528" s="8"/>
      <c r="AA528" s="8"/>
      <c r="AB528" s="8"/>
      <c r="AC528" s="13"/>
      <c r="AD528" s="14"/>
      <c r="AJ528" s="17"/>
      <c r="AK528" s="17"/>
      <c r="AU528" s="4"/>
      <c r="AV528" s="5"/>
      <c r="AW528" s="4"/>
      <c r="AX528" s="4"/>
      <c r="AY528" s="4"/>
      <c r="AZ528" s="4"/>
      <c r="BA528" s="4"/>
      <c r="BB528" s="4"/>
    </row>
    <row r="529" spans="1:54" x14ac:dyDescent="0.2">
      <c r="A529" s="1"/>
      <c r="H529" s="8"/>
      <c r="I529" s="9"/>
      <c r="L529" s="8"/>
      <c r="M529" s="10"/>
      <c r="N529" s="11"/>
      <c r="O529" s="8"/>
      <c r="P529" s="8"/>
      <c r="Q529" s="11"/>
      <c r="R529" s="8"/>
      <c r="S529" s="8"/>
      <c r="T529" s="8"/>
      <c r="U529" s="8"/>
      <c r="W529" s="12"/>
      <c r="X529" s="8"/>
      <c r="Z529" s="8"/>
      <c r="AA529" s="8"/>
      <c r="AB529" s="8"/>
      <c r="AC529" s="13"/>
      <c r="AD529" s="14"/>
      <c r="AJ529" s="17"/>
      <c r="AK529" s="17"/>
      <c r="AU529" s="4"/>
      <c r="AV529" s="5"/>
      <c r="AW529" s="4"/>
      <c r="AX529" s="4"/>
      <c r="AY529" s="4"/>
      <c r="AZ529" s="4"/>
      <c r="BA529" s="4"/>
      <c r="BB529" s="4"/>
    </row>
  </sheetData>
  <autoFilter ref="A7:BB526">
    <filterColumn colId="0">
      <filters>
        <filter val="637"/>
      </filters>
    </filterColumn>
  </autoFilter>
  <mergeCells count="189">
    <mergeCell ref="R507:R508"/>
    <mergeCell ref="B518:B519"/>
    <mergeCell ref="E518:E519"/>
    <mergeCell ref="B501:B502"/>
    <mergeCell ref="E501:E502"/>
    <mergeCell ref="R501:R502"/>
    <mergeCell ref="B503:B504"/>
    <mergeCell ref="E503:E504"/>
    <mergeCell ref="R503:R504"/>
    <mergeCell ref="B497:B498"/>
    <mergeCell ref="E497:E498"/>
    <mergeCell ref="R497:R498"/>
    <mergeCell ref="B499:B500"/>
    <mergeCell ref="E499:E500"/>
    <mergeCell ref="R499:R500"/>
    <mergeCell ref="E466:E467"/>
    <mergeCell ref="R466:R467"/>
    <mergeCell ref="R494:R496"/>
    <mergeCell ref="E449:E450"/>
    <mergeCell ref="R449:R456"/>
    <mergeCell ref="E451:E452"/>
    <mergeCell ref="E453:E454"/>
    <mergeCell ref="E455:E456"/>
    <mergeCell ref="E436:E437"/>
    <mergeCell ref="R436:R437"/>
    <mergeCell ref="E438:E439"/>
    <mergeCell ref="R438:R439"/>
    <mergeCell ref="R441:R442"/>
    <mergeCell ref="E441:E442"/>
    <mergeCell ref="R422:R425"/>
    <mergeCell ref="E422:E423"/>
    <mergeCell ref="E424:E425"/>
    <mergeCell ref="R426:R430"/>
    <mergeCell ref="R431:R433"/>
    <mergeCell ref="E412:E413"/>
    <mergeCell ref="R412:R415"/>
    <mergeCell ref="E414:E415"/>
    <mergeCell ref="E416:E417"/>
    <mergeCell ref="R416:R421"/>
    <mergeCell ref="E418:E419"/>
    <mergeCell ref="E420:E421"/>
    <mergeCell ref="E402:E403"/>
    <mergeCell ref="R402:R403"/>
    <mergeCell ref="E404:E405"/>
    <mergeCell ref="R404:R407"/>
    <mergeCell ref="E406:E407"/>
    <mergeCell ref="E408:E409"/>
    <mergeCell ref="R408:R411"/>
    <mergeCell ref="E410:E411"/>
    <mergeCell ref="E388:E389"/>
    <mergeCell ref="R388:R391"/>
    <mergeCell ref="E390:E391"/>
    <mergeCell ref="E392:E393"/>
    <mergeCell ref="R392:R401"/>
    <mergeCell ref="E394:E395"/>
    <mergeCell ref="E396:E397"/>
    <mergeCell ref="E398:E399"/>
    <mergeCell ref="E400:E401"/>
    <mergeCell ref="E365:E366"/>
    <mergeCell ref="R365:R366"/>
    <mergeCell ref="E367:E368"/>
    <mergeCell ref="R367:R368"/>
    <mergeCell ref="E374:E375"/>
    <mergeCell ref="R374:R377"/>
    <mergeCell ref="E376:E377"/>
    <mergeCell ref="E349:E350"/>
    <mergeCell ref="R349:R364"/>
    <mergeCell ref="E351:E352"/>
    <mergeCell ref="E353:E354"/>
    <mergeCell ref="E355:E356"/>
    <mergeCell ref="E357:E358"/>
    <mergeCell ref="E359:E360"/>
    <mergeCell ref="E361:E362"/>
    <mergeCell ref="E363:E364"/>
    <mergeCell ref="E317:E318"/>
    <mergeCell ref="R317:R318"/>
    <mergeCell ref="R325:R327"/>
    <mergeCell ref="R330:R332"/>
    <mergeCell ref="E333:E334"/>
    <mergeCell ref="R333:R334"/>
    <mergeCell ref="I342:I343"/>
    <mergeCell ref="E342:E343"/>
    <mergeCell ref="R342:R347"/>
    <mergeCell ref="E344:E345"/>
    <mergeCell ref="E346:E347"/>
    <mergeCell ref="E299:E300"/>
    <mergeCell ref="E301:E302"/>
    <mergeCell ref="E303:E304"/>
    <mergeCell ref="E305:E306"/>
    <mergeCell ref="E307:E308"/>
    <mergeCell ref="R307:R312"/>
    <mergeCell ref="E309:E310"/>
    <mergeCell ref="E311:E312"/>
    <mergeCell ref="R287:R288"/>
    <mergeCell ref="E287:E288"/>
    <mergeCell ref="E289:E290"/>
    <mergeCell ref="R289:R290"/>
    <mergeCell ref="E291:E292"/>
    <mergeCell ref="R291:R306"/>
    <mergeCell ref="E293:E294"/>
    <mergeCell ref="E295:E296"/>
    <mergeCell ref="E297:E298"/>
    <mergeCell ref="E277:E278"/>
    <mergeCell ref="R277:R284"/>
    <mergeCell ref="E279:E280"/>
    <mergeCell ref="E281:E282"/>
    <mergeCell ref="E283:E284"/>
    <mergeCell ref="E285:E286"/>
    <mergeCell ref="R285:R286"/>
    <mergeCell ref="E251:E252"/>
    <mergeCell ref="R251:R252"/>
    <mergeCell ref="R263:R268"/>
    <mergeCell ref="E269:E270"/>
    <mergeCell ref="R269:R276"/>
    <mergeCell ref="E271:E272"/>
    <mergeCell ref="E273:E274"/>
    <mergeCell ref="E275:E276"/>
    <mergeCell ref="E241:E242"/>
    <mergeCell ref="R241:R246"/>
    <mergeCell ref="E243:E244"/>
    <mergeCell ref="E245:E246"/>
    <mergeCell ref="E247:E248"/>
    <mergeCell ref="R247:R250"/>
    <mergeCell ref="E249:E250"/>
    <mergeCell ref="E231:E232"/>
    <mergeCell ref="R231:R238"/>
    <mergeCell ref="E233:E234"/>
    <mergeCell ref="I233:I234"/>
    <mergeCell ref="E235:E236"/>
    <mergeCell ref="I235:I236"/>
    <mergeCell ref="E237:E238"/>
    <mergeCell ref="I237:I238"/>
    <mergeCell ref="B212:B216"/>
    <mergeCell ref="E212:E217"/>
    <mergeCell ref="R212:R217"/>
    <mergeCell ref="E223:E224"/>
    <mergeCell ref="R223:R230"/>
    <mergeCell ref="E225:E226"/>
    <mergeCell ref="E227:E228"/>
    <mergeCell ref="E229:E230"/>
    <mergeCell ref="P193:P194"/>
    <mergeCell ref="Q193:Q194"/>
    <mergeCell ref="V193:V194"/>
    <mergeCell ref="W193:W194"/>
    <mergeCell ref="B206:B211"/>
    <mergeCell ref="E206:E211"/>
    <mergeCell ref="R206:R211"/>
    <mergeCell ref="J193:J194"/>
    <mergeCell ref="K193:K194"/>
    <mergeCell ref="L193:L194"/>
    <mergeCell ref="M193:M194"/>
    <mergeCell ref="N193:N194"/>
    <mergeCell ref="O193:O194"/>
    <mergeCell ref="B193:B194"/>
    <mergeCell ref="C193:C194"/>
    <mergeCell ref="D193:D194"/>
    <mergeCell ref="E193:E194"/>
    <mergeCell ref="H193:H194"/>
    <mergeCell ref="I193:I194"/>
    <mergeCell ref="B149:B150"/>
    <mergeCell ref="D149:D150"/>
    <mergeCell ref="E149:E150"/>
    <mergeCell ref="I149:I150"/>
    <mergeCell ref="R149:R150"/>
    <mergeCell ref="B189:B190"/>
    <mergeCell ref="E189:E190"/>
    <mergeCell ref="I189:I190"/>
    <mergeCell ref="R189:R190"/>
    <mergeCell ref="R116:R117"/>
    <mergeCell ref="E122:E123"/>
    <mergeCell ref="R122:R123"/>
    <mergeCell ref="B39:B42"/>
    <mergeCell ref="E39:E42"/>
    <mergeCell ref="I39:I42"/>
    <mergeCell ref="R39:R42"/>
    <mergeCell ref="R45:R46"/>
    <mergeCell ref="E50:E53"/>
    <mergeCell ref="R50:R53"/>
    <mergeCell ref="B51:B53"/>
    <mergeCell ref="I51:I53"/>
    <mergeCell ref="E1:AT1"/>
    <mergeCell ref="E2:AT2"/>
    <mergeCell ref="E3:AT3"/>
    <mergeCell ref="E4:AT4"/>
    <mergeCell ref="E21:E23"/>
    <mergeCell ref="R21:R23"/>
    <mergeCell ref="B87:B107"/>
    <mergeCell ref="E87:E107"/>
    <mergeCell ref="R87:R107"/>
  </mergeCells>
  <pageMargins left="0.86614173228346458" right="0.15748031496062992" top="0.35433070866141736" bottom="0.39370078740157483" header="0.19685039370078741" footer="0"/>
  <pageSetup paperSize="5" orientation="landscape" horizontalDpi="300" verticalDpi="300" r:id="rId1"/>
  <headerFooter alignWithMargins="0">
    <oddFooter>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637</vt:lpstr>
      <vt:lpstr>'637'!Títulos_a_imprimir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Roberto1</dc:creator>
  <cp:lastModifiedBy>USUARIO</cp:lastModifiedBy>
  <cp:lastPrinted>2016-02-15T20:27:33Z</cp:lastPrinted>
  <dcterms:created xsi:type="dcterms:W3CDTF">2016-01-06T19:06:23Z</dcterms:created>
  <dcterms:modified xsi:type="dcterms:W3CDTF">2016-02-16T18:16:21Z</dcterms:modified>
</cp:coreProperties>
</file>